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D:\nocni_provoz\vypocet\"/>
    </mc:Choice>
  </mc:AlternateContent>
  <workbookProtection workbookAlgorithmName="SHA-512" workbookHashValue="grTzt4kNtiP7d0eqtfpiqjwdUhzvWP1ILi/XA5nfyfQ4I4pO5LLMZtL6GJBLHXjGZD8nBDNxPdudsZPojX2J8w==" workbookSaltValue="+GrbCdeU4/Ea4nfgGbctGQ==" workbookSpinCount="100000" lockStructure="1"/>
  <bookViews>
    <workbookView xWindow="0" yWindow="0" windowWidth="28800" windowHeight="14010" tabRatio="782"/>
  </bookViews>
  <sheets>
    <sheet name="Noise category calculation" sheetId="1" r:id="rId1"/>
    <sheet name="Seznamy" sheetId="2" state="hidden" r:id="rId2"/>
    <sheet name="Boční_VZLET" sheetId="3" state="hidden" r:id="rId3"/>
    <sheet name="Přiblížení" sheetId="4" state="hidden" r:id="rId4"/>
    <sheet name="Přelet" sheetId="5" state="hidden" r:id="rId5"/>
    <sheet name="L16-1 (dodatky)" sheetId="7" state="hidden" r:id="rId6"/>
  </sheets>
  <definedNames>
    <definedName name="Hlava">Tabulka1[[#All],[Hlava]]</definedName>
    <definedName name="Počet_motorů">Seznamy!$F$1:$F$7</definedName>
    <definedName name="Rotace">Seznamy!$G$2:$G$4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 i="3" l="1"/>
  <c r="G7" i="3"/>
  <c r="G6" i="3"/>
  <c r="G5" i="3"/>
  <c r="G4" i="3"/>
  <c r="G3" i="3"/>
  <c r="F5" i="3"/>
  <c r="F4" i="3"/>
  <c r="E12" i="3"/>
  <c r="E11" i="3"/>
  <c r="E10" i="3"/>
  <c r="E9" i="3"/>
  <c r="E8" i="3"/>
  <c r="E7" i="3"/>
  <c r="E6" i="3"/>
  <c r="E5" i="3"/>
  <c r="D6" i="3"/>
  <c r="D7" i="3"/>
  <c r="D8" i="3"/>
  <c r="D9" i="3"/>
  <c r="D10" i="3"/>
  <c r="D11" i="3"/>
  <c r="D12" i="3"/>
  <c r="D5" i="3"/>
  <c r="C13" i="3"/>
  <c r="B13" i="3"/>
  <c r="B14" i="3"/>
  <c r="B15" i="3"/>
  <c r="H6" i="5" l="1"/>
  <c r="H7" i="5"/>
  <c r="A25" i="5" s="1"/>
  <c r="H8" i="5"/>
  <c r="H9" i="5"/>
  <c r="H10" i="5"/>
  <c r="H11" i="5"/>
  <c r="H12" i="5"/>
  <c r="H13" i="5"/>
  <c r="H14" i="5"/>
  <c r="H15" i="5"/>
  <c r="H16" i="5"/>
  <c r="H5" i="5"/>
  <c r="G5" i="5"/>
  <c r="G6" i="5"/>
  <c r="G7" i="5"/>
  <c r="G8" i="5"/>
  <c r="G9" i="5"/>
  <c r="G10" i="5"/>
  <c r="G11" i="5"/>
  <c r="G12" i="5"/>
  <c r="G13" i="5"/>
  <c r="G14" i="5"/>
  <c r="G15" i="5"/>
  <c r="G16" i="5"/>
  <c r="G4" i="5"/>
  <c r="D5" i="5"/>
  <c r="E5" i="5"/>
  <c r="F5" i="5"/>
  <c r="B13" i="1" l="1"/>
  <c r="Q10" i="5"/>
  <c r="Q11" i="5"/>
  <c r="Q12" i="5"/>
  <c r="Q13" i="5"/>
  <c r="Q9" i="5"/>
  <c r="Q6" i="5"/>
  <c r="P9" i="5"/>
  <c r="P10" i="5"/>
  <c r="P11" i="5"/>
  <c r="P12" i="5"/>
  <c r="P13" i="5"/>
  <c r="P8" i="5"/>
  <c r="M14" i="5"/>
  <c r="I14" i="5"/>
  <c r="M10" i="5"/>
  <c r="M11" i="5"/>
  <c r="M12" i="5"/>
  <c r="M13" i="5"/>
  <c r="M9" i="5"/>
  <c r="M6" i="5"/>
  <c r="L9" i="5"/>
  <c r="L10" i="5"/>
  <c r="L11" i="5"/>
  <c r="L12" i="5"/>
  <c r="L13" i="5"/>
  <c r="L14" i="5"/>
  <c r="L8" i="5"/>
  <c r="I13" i="5"/>
  <c r="I12" i="5"/>
  <c r="I7" i="5"/>
  <c r="F6" i="5"/>
  <c r="F7" i="5"/>
  <c r="F8" i="5"/>
  <c r="F9" i="5"/>
  <c r="F10" i="5"/>
  <c r="F11" i="5"/>
  <c r="F12" i="5"/>
  <c r="F4" i="5"/>
  <c r="E6" i="5"/>
  <c r="E7" i="5"/>
  <c r="E8" i="5"/>
  <c r="E9" i="5"/>
  <c r="E10" i="5"/>
  <c r="E11" i="5"/>
  <c r="E12" i="5"/>
  <c r="E4" i="5"/>
  <c r="D4" i="5"/>
  <c r="D3" i="5"/>
  <c r="C10" i="5"/>
  <c r="C11" i="5"/>
  <c r="C12" i="5"/>
  <c r="C13" i="5"/>
  <c r="C9" i="5"/>
  <c r="B12" i="5"/>
  <c r="B10" i="1" s="1"/>
  <c r="B13" i="5"/>
  <c r="B14" i="5"/>
  <c r="B11" i="5"/>
  <c r="F8" i="4"/>
  <c r="F7" i="4"/>
  <c r="F4" i="4"/>
  <c r="E4" i="4"/>
  <c r="E5" i="4"/>
  <c r="E6" i="4"/>
  <c r="E7" i="4"/>
  <c r="E3" i="4"/>
  <c r="D4" i="4"/>
  <c r="D5" i="4"/>
  <c r="D6" i="4"/>
  <c r="D7" i="4"/>
  <c r="D3" i="4"/>
  <c r="C7" i="4"/>
  <c r="C8" i="4"/>
  <c r="C9" i="4"/>
  <c r="C6" i="4"/>
  <c r="B8" i="4"/>
  <c r="B7" i="4"/>
  <c r="C11" i="3"/>
  <c r="C12" i="3"/>
  <c r="C14" i="3"/>
  <c r="H14" i="3"/>
  <c r="H15" i="3"/>
  <c r="H12" i="3"/>
  <c r="B9" i="1" l="1"/>
  <c r="B8" i="1"/>
  <c r="H9" i="3"/>
  <c r="B12" i="3"/>
  <c r="C10" i="1" l="1"/>
  <c r="C6" i="1"/>
  <c r="C8" i="1"/>
  <c r="C4" i="1"/>
  <c r="C9" i="1"/>
  <c r="C5" i="1"/>
  <c r="B17" i="3"/>
  <c r="C1" i="1"/>
  <c r="B11" i="1" l="1"/>
  <c r="B12" i="1" s="1"/>
  <c r="B14" i="1" l="1"/>
  <c r="B15" i="1" s="1"/>
  <c r="B16" i="1"/>
  <c r="B17" i="1" s="1"/>
  <c r="C12" i="1"/>
  <c r="B18" i="1" l="1"/>
</calcChain>
</file>

<file path=xl/sharedStrings.xml><?xml version="1.0" encoding="utf-8"?>
<sst xmlns="http://schemas.openxmlformats.org/spreadsheetml/2006/main" count="76" uniqueCount="49">
  <si>
    <t>Hlava</t>
  </si>
  <si>
    <t>3 (3.4.1)/4 (4.4)</t>
  </si>
  <si>
    <t>5 (5.4.1)</t>
  </si>
  <si>
    <t>6 (6.3.1)</t>
  </si>
  <si>
    <t>8 (8.4.1)</t>
  </si>
  <si>
    <t>8 (8.4.2)</t>
  </si>
  <si>
    <t>10 (10.4a)</t>
  </si>
  <si>
    <t>10 (10.4b)</t>
  </si>
  <si>
    <t>11 (11.4.1)</t>
  </si>
  <si>
    <t>11 (11.4.2)</t>
  </si>
  <si>
    <t>14 (14.4.1)</t>
  </si>
  <si>
    <t>Název</t>
  </si>
  <si>
    <t>PROPS ABOVE 8 618 kg MTOW
(APPLICATION ACCEPTED BEFORE 1. 1. 1985)</t>
  </si>
  <si>
    <t>PROPS BELOW 8 618 kg MTOW
(APPLICATION ACCEPTED BEFORE 17. 11. 1988)</t>
  </si>
  <si>
    <t>HELICOPTER (APPLICATION ACCEPTED LATER THAN 21. 3. 2002)</t>
  </si>
  <si>
    <t>PROPS BELOW 8168 KG MTOW (APPLICATION ACCEPTED 17.11.1988 OR LATER                   DERIVED PROPS (APPLICATION ACCEPTED 17.11.1988 OR LATER)</t>
  </si>
  <si>
    <t>HELICOPTERS UP TO 3 715 KG MTOW (APPLICATION ACCEPTED 11. 11. 1993 OR LATER) OR DERIVED HELICOPTERS (APPLICATION ACCEPTED 11. 11. 1993 OR LATER)</t>
  </si>
  <si>
    <t>HELICOPTERS UP TO 3 715 KG MTOW INCL. DERIVED VERSION (APPLICATION ACCEPTED  21. 3. 2002 OR LATER)</t>
  </si>
  <si>
    <t>1.SUBSONIC JETS AND PROPS MTOW 55 000 kg OR HIGHER                                               (APPLICATION ACCEPTED 31. 12. 2017 OR LATER)
2. SUBSONIC JETS MTOW 55 000 kg OR LOWER
(APPLICATION ACCEPTED 31. 12. 2020 OR LATER)
3. PROPS MTOW FROM 8 618 kg TO 55 000 kg
(APPLICATION ACCEPTED 31.12.2020)</t>
  </si>
  <si>
    <t>Počet motorů</t>
  </si>
  <si>
    <t>MTOW [t]</t>
  </si>
  <si>
    <t>Hlava 5 (5.4.1)</t>
  </si>
  <si>
    <t>Hlava 14 (4.4.1)</t>
  </si>
  <si>
    <t>Hlava 3 (3.4.1)/4 (4.4)2</t>
  </si>
  <si>
    <t>Tuny</t>
  </si>
  <si>
    <t>Rotace</t>
  </si>
  <si>
    <t>ARR(06-22),DEP(06-22)</t>
  </si>
  <si>
    <t>ARR(22-06),DEP(22-06)</t>
  </si>
  <si>
    <r>
      <t>ARR(06-22)</t>
    </r>
    <r>
      <rPr>
        <sz val="11"/>
        <color theme="1"/>
        <rFont val="Calibri"/>
        <family val="2"/>
        <charset val="238"/>
      </rPr>
      <t>↔</t>
    </r>
    <r>
      <rPr>
        <sz val="11"/>
        <color theme="1"/>
        <rFont val="Calibri"/>
        <family val="2"/>
        <charset val="238"/>
        <scheme val="minor"/>
      </rPr>
      <t>DEP(22-06)</t>
    </r>
  </si>
  <si>
    <t>1.SUBSONIC JETS (APPLICATION ACCEPTED FROM 6. 10. 1977 TO 1. 1. 2006)
2.PROP MTOW ABOVE 8 618 kg (APPLICATION ACCEPTED FROM 1. 1. 1985 TO 1. 1. 2006)'   3. SUBSONIC JETS &amp; PROPS MTOW ABOVE 55 000 kg incl. 
(APPLICATION ACCEPTED FROM  1. 1. 2006 incl TO 31. 12. 2017)
4. SUBSONIC JETS MTOW BELOW 55 000 kg
(APPLICATION ACCEPTED FROM 1. 1. 2006 incl. TO 31. 12. 2020)
5. PROPS MTOW FROM 8 618 kg TO 55 000 kg
(APPLICATION ACCEPTED FROM 1. 1. 2006 incl. TO 31. 12. 2020)</t>
  </si>
  <si>
    <t>HELICOPTERS (APPLICATION ACCEPTED LATER THAN 1. 1. 1985)
DERIVED HELI (APPLICATION ACCEPTED LATER THAN 17. 11.1988)</t>
  </si>
  <si>
    <t>SINGLE ENGINE PROPS EXCEPT HYDROPLANES
A)APPLICATION ACCEPTED  4.11.1999 OR LATER                                                                                   B) DERIVED PROPS (APPLICATION ACCEPTED BEFORE 4.11. 1999 AND RECERTIFICATION APPLICATION 4.11.1999 OR LATER)</t>
  </si>
  <si>
    <t>Certification noise standard (Chapter of ICAO ANNEX 16)</t>
  </si>
  <si>
    <t>Number of engines</t>
  </si>
  <si>
    <t>Lateral full power or Take off noise level  [EPNdB]</t>
  </si>
  <si>
    <t>Approach noise level [EPNdB]</t>
  </si>
  <si>
    <t>Overflight noise level [EPNdB]</t>
  </si>
  <si>
    <t>Lateral full power / Take off certification noise limit [EPNdB]</t>
  </si>
  <si>
    <t>Approach  certification noise limit [EPNdB]</t>
  </si>
  <si>
    <t>Overflight certification noise limit [EPNdB]</t>
  </si>
  <si>
    <t>Cumulative margin</t>
  </si>
  <si>
    <t>Noise category in LKPR from 25.3.2018</t>
  </si>
  <si>
    <t>Tonne of the MTOW for charges calculation (including tonne initiated)</t>
  </si>
  <si>
    <t xml:space="preserve">Total cost for one operation during daytime </t>
  </si>
  <si>
    <t xml:space="preserve">Rate for the tonne of the MTOW in daytime </t>
  </si>
  <si>
    <t xml:space="preserve">Rate for the tonne of the MTOW in nighttime </t>
  </si>
  <si>
    <t xml:space="preserve">Total cost for one operation during nighttime </t>
  </si>
  <si>
    <t>Total cost for one rotation (arrival and departure)</t>
  </si>
  <si>
    <t>Time of arrival and departure operation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</si>
</sst>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
    <numFmt numFmtId="166" formatCode="_-* #,##0.00\ [$CZK]_-;\-* #,##0.00\ [$CZK]_-;_-* &quot;-&quot;??\ [$CZK]_-;_-@_-"/>
  </numFmts>
  <fonts count="9" x14ac:knownFonts="1">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theme="5" tint="-0.249977111117893"/>
      <name val="Calibri"/>
      <family val="2"/>
      <charset val="238"/>
      <scheme val="minor"/>
    </font>
    <font>
      <b/>
      <sz val="14"/>
      <color theme="4" tint="-0.249977111117893"/>
      <name val="Calibri"/>
      <family val="2"/>
      <charset val="238"/>
      <scheme val="minor"/>
    </font>
    <font>
      <b/>
      <sz val="11"/>
      <color theme="0"/>
      <name val="Calibri"/>
      <family val="2"/>
      <charset val="238"/>
      <scheme val="minor"/>
    </font>
    <font>
      <sz val="11"/>
      <color theme="1"/>
      <name val="Calibri"/>
      <family val="2"/>
      <charset val="238"/>
    </font>
    <font>
      <b/>
      <sz val="14"/>
      <color theme="1"/>
      <name val="Calibri"/>
      <family val="2"/>
      <charset val="238"/>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2"/>
        <bgColor indexed="64"/>
      </patternFill>
    </fill>
    <fill>
      <patternFill patternType="solid">
        <fgColor theme="4"/>
        <bgColor theme="4"/>
      </patternFill>
    </fill>
    <fill>
      <patternFill patternType="solid">
        <fgColor theme="4" tint="0.79998168889431442"/>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theme="4" tint="0.3999755851924192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49">
    <xf numFmtId="0" fontId="0" fillId="0" borderId="0" xfId="0"/>
    <xf numFmtId="0" fontId="0" fillId="0" borderId="0" xfId="0" quotePrefix="1" applyAlignment="1">
      <alignment horizontal="left" vertical="center"/>
    </xf>
    <xf numFmtId="0" fontId="0" fillId="0" borderId="0" xfId="0" quotePrefix="1" applyAlignment="1">
      <alignment horizontal="left" wrapText="1"/>
    </xf>
    <xf numFmtId="0" fontId="0" fillId="0" borderId="0" xfId="0" applyAlignment="1">
      <alignment wrapText="1"/>
    </xf>
    <xf numFmtId="0" fontId="0" fillId="0" borderId="0" xfId="0" applyAlignment="1">
      <alignment horizontal="left" wrapText="1"/>
    </xf>
    <xf numFmtId="0" fontId="2" fillId="4" borderId="2" xfId="0" applyFont="1" applyFill="1" applyBorder="1" applyAlignment="1">
      <alignment horizontal="center"/>
    </xf>
    <xf numFmtId="0" fontId="0" fillId="0" borderId="0" xfId="0" applyAlignment="1">
      <alignment horizontal="center"/>
    </xf>
    <xf numFmtId="49" fontId="2" fillId="0" borderId="4" xfId="0" applyNumberFormat="1" applyFont="1" applyFill="1" applyBorder="1" applyAlignment="1">
      <alignment horizontal="center"/>
    </xf>
    <xf numFmtId="49" fontId="2" fillId="0" borderId="7" xfId="0" applyNumberFormat="1" applyFont="1" applyFill="1" applyBorder="1" applyAlignment="1">
      <alignment horizontal="center"/>
    </xf>
    <xf numFmtId="0" fontId="2" fillId="0" borderId="7" xfId="0" applyFont="1" applyFill="1" applyBorder="1" applyAlignment="1">
      <alignment horizontal="center"/>
    </xf>
    <xf numFmtId="0" fontId="2" fillId="0" borderId="3" xfId="0" applyFont="1" applyFill="1" applyBorder="1" applyAlignment="1">
      <alignment horizontal="center"/>
    </xf>
    <xf numFmtId="0" fontId="3" fillId="0" borderId="8" xfId="0" applyFont="1" applyFill="1" applyBorder="1" applyAlignment="1">
      <alignment horizontal="center"/>
    </xf>
    <xf numFmtId="0" fontId="3" fillId="0" borderId="1" xfId="0" applyFont="1" applyFill="1" applyBorder="1" applyAlignment="1">
      <alignment horizontal="center"/>
    </xf>
    <xf numFmtId="0" fontId="3" fillId="0" borderId="9" xfId="0" applyFont="1" applyFill="1" applyBorder="1" applyAlignment="1">
      <alignment horizontal="center"/>
    </xf>
    <xf numFmtId="0" fontId="3" fillId="0" borderId="10" xfId="0" applyFont="1" applyFill="1" applyBorder="1" applyAlignment="1">
      <alignment horizontal="center"/>
    </xf>
    <xf numFmtId="0" fontId="1" fillId="0" borderId="0" xfId="0" applyFont="1" applyAlignment="1">
      <alignment horizontal="center"/>
    </xf>
    <xf numFmtId="49" fontId="0" fillId="0" borderId="0" xfId="0" applyNumberFormat="1"/>
    <xf numFmtId="0" fontId="0" fillId="6" borderId="13" xfId="0" applyFont="1" applyFill="1" applyBorder="1"/>
    <xf numFmtId="0" fontId="0" fillId="0" borderId="13" xfId="0" applyFont="1" applyBorder="1"/>
    <xf numFmtId="2" fontId="0" fillId="0" borderId="13" xfId="0" applyNumberFormat="1" applyFont="1" applyBorder="1"/>
    <xf numFmtId="2" fontId="0" fillId="6" borderId="13" xfId="0" applyNumberFormat="1" applyFont="1" applyFill="1" applyBorder="1"/>
    <xf numFmtId="0" fontId="6" fillId="5" borderId="0" xfId="0" applyFont="1" applyFill="1" applyBorder="1"/>
    <xf numFmtId="0" fontId="4" fillId="0" borderId="1" xfId="0" applyFont="1" applyFill="1" applyBorder="1" applyAlignment="1">
      <alignment horizontal="center"/>
    </xf>
    <xf numFmtId="0" fontId="4" fillId="0" borderId="6" xfId="0" applyFont="1" applyFill="1" applyBorder="1" applyAlignment="1">
      <alignment horizontal="center"/>
    </xf>
    <xf numFmtId="0" fontId="0" fillId="0" borderId="6" xfId="0" applyFont="1" applyFill="1" applyBorder="1" applyAlignment="1">
      <alignment horizontal="center"/>
    </xf>
    <xf numFmtId="0" fontId="4" fillId="0" borderId="10" xfId="0" applyFont="1" applyFill="1" applyBorder="1" applyAlignment="1">
      <alignment horizontal="center"/>
    </xf>
    <xf numFmtId="0" fontId="4" fillId="0" borderId="5" xfId="0" applyFont="1" applyFill="1" applyBorder="1" applyAlignment="1">
      <alignment horizontal="center"/>
    </xf>
    <xf numFmtId="0" fontId="0" fillId="0" borderId="5" xfId="0" applyFont="1" applyFill="1" applyBorder="1" applyAlignment="1">
      <alignment horizontal="center"/>
    </xf>
    <xf numFmtId="0" fontId="0" fillId="0" borderId="12" xfId="0" applyBorder="1" applyAlignment="1" applyProtection="1">
      <alignment horizontal="center"/>
      <protection locked="0"/>
    </xf>
    <xf numFmtId="0" fontId="0" fillId="0" borderId="11" xfId="0" applyBorder="1" applyAlignment="1" applyProtection="1">
      <alignment horizontal="center" vertical="center"/>
      <protection locked="0"/>
    </xf>
    <xf numFmtId="2" fontId="0" fillId="0" borderId="17" xfId="0" applyNumberFormat="1" applyFill="1" applyBorder="1" applyAlignment="1" applyProtection="1">
      <alignment horizontal="center"/>
      <protection locked="0"/>
    </xf>
    <xf numFmtId="0" fontId="0" fillId="3" borderId="0" xfId="0" applyFill="1" applyAlignment="1" applyProtection="1">
      <alignment horizontal="center" vertical="center" wrapText="1"/>
      <protection hidden="1"/>
    </xf>
    <xf numFmtId="0" fontId="0" fillId="0" borderId="0" xfId="0" applyAlignment="1" applyProtection="1">
      <alignment horizontal="center"/>
      <protection hidden="1"/>
    </xf>
    <xf numFmtId="2" fontId="0" fillId="3" borderId="0" xfId="0" applyNumberFormat="1" applyFill="1" applyAlignment="1" applyProtection="1">
      <alignment horizontal="center"/>
      <protection hidden="1"/>
    </xf>
    <xf numFmtId="165" fontId="0" fillId="3" borderId="0" xfId="0" applyNumberFormat="1" applyFill="1" applyBorder="1" applyAlignment="1" applyProtection="1">
      <alignment horizontal="center"/>
      <protection hidden="1"/>
    </xf>
    <xf numFmtId="0" fontId="0" fillId="0" borderId="16" xfId="0" applyBorder="1" applyAlignment="1" applyProtection="1">
      <alignment horizontal="center"/>
      <protection hidden="1"/>
    </xf>
    <xf numFmtId="0" fontId="1" fillId="2" borderId="14" xfId="0" quotePrefix="1" applyFont="1" applyFill="1" applyBorder="1" applyAlignment="1" applyProtection="1">
      <alignment horizontal="left" vertical="center"/>
      <protection hidden="1"/>
    </xf>
    <xf numFmtId="0" fontId="1" fillId="2" borderId="15" xfId="0" quotePrefix="1" applyFont="1" applyFill="1" applyBorder="1" applyAlignment="1" applyProtection="1">
      <alignment horizontal="left"/>
      <protection hidden="1"/>
    </xf>
    <xf numFmtId="0" fontId="1" fillId="2" borderId="18" xfId="0" applyFont="1" applyFill="1" applyBorder="1" applyAlignment="1" applyProtection="1">
      <alignment horizontal="left"/>
      <protection hidden="1"/>
    </xf>
    <xf numFmtId="0" fontId="1" fillId="3" borderId="1" xfId="0" quotePrefix="1" applyFont="1" applyFill="1" applyBorder="1" applyAlignment="1" applyProtection="1">
      <alignment horizontal="left"/>
      <protection hidden="1"/>
    </xf>
    <xf numFmtId="0" fontId="1" fillId="3" borderId="1" xfId="0" applyFont="1" applyFill="1" applyBorder="1" applyAlignment="1" applyProtection="1">
      <alignment horizontal="left"/>
      <protection hidden="1"/>
    </xf>
    <xf numFmtId="0" fontId="1" fillId="3" borderId="6" xfId="0" applyFont="1" applyFill="1" applyBorder="1" applyAlignment="1" applyProtection="1">
      <alignment horizontal="left"/>
      <protection hidden="1"/>
    </xf>
    <xf numFmtId="0" fontId="1" fillId="3" borderId="19" xfId="0" applyFont="1" applyFill="1" applyBorder="1" applyAlignment="1" applyProtection="1">
      <alignment horizontal="left"/>
      <protection hidden="1"/>
    </xf>
    <xf numFmtId="164" fontId="0" fillId="3" borderId="0" xfId="0" applyNumberFormat="1" applyFill="1" applyAlignment="1" applyProtection="1">
      <alignment horizontal="center"/>
      <protection hidden="1"/>
    </xf>
    <xf numFmtId="165" fontId="0" fillId="3" borderId="0" xfId="0" applyNumberFormat="1" applyFill="1" applyAlignment="1" applyProtection="1">
      <alignment horizontal="center"/>
      <protection hidden="1"/>
    </xf>
    <xf numFmtId="1" fontId="5" fillId="3" borderId="16" xfId="0" applyNumberFormat="1" applyFont="1" applyFill="1" applyBorder="1" applyAlignment="1" applyProtection="1">
      <alignment horizontal="center"/>
      <protection hidden="1"/>
    </xf>
    <xf numFmtId="0" fontId="0" fillId="3" borderId="0" xfId="0" applyFill="1" applyAlignment="1" applyProtection="1">
      <alignment horizontal="center"/>
      <protection hidden="1"/>
    </xf>
    <xf numFmtId="166" fontId="0" fillId="3" borderId="0" xfId="0" applyNumberFormat="1" applyFill="1" applyAlignment="1" applyProtection="1">
      <alignment horizontal="center"/>
      <protection hidden="1"/>
    </xf>
    <xf numFmtId="166" fontId="8" fillId="3" borderId="16" xfId="0" applyNumberFormat="1" applyFont="1" applyFill="1" applyBorder="1" applyAlignment="1" applyProtection="1">
      <alignment horizontal="center"/>
      <protection hidden="1"/>
    </xf>
  </cellXfs>
  <cellStyles count="1">
    <cellStyle name="Normální" xfId="0" builtinId="0"/>
  </cellStyles>
  <dxfs count="34">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charset val="238"/>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charset val="238"/>
        <scheme val="minor"/>
      </font>
      <fill>
        <patternFill patternType="solid">
          <fgColor theme="4"/>
          <bgColor theme="4"/>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Calibri"/>
        <family val="2"/>
        <charset val="238"/>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charset val="238"/>
        <scheme val="minor"/>
      </font>
      <fill>
        <patternFill patternType="none">
          <fgColor theme="4" tint="0.79998168889431442"/>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5" tint="-0.249977111117893"/>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5" tint="-0.249977111117893"/>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5" tint="-0.249977111117893"/>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5" tint="-0.249977111117893"/>
        <name val="Calibri"/>
        <family val="2"/>
        <charset val="238"/>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5" tint="-0.249977111117893"/>
        <name val="Calibri"/>
        <family val="2"/>
        <charset val="238"/>
        <scheme val="minor"/>
      </font>
      <fill>
        <patternFill patternType="none">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theme="5" tint="0.79998168889431442"/>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charset val="238"/>
        <scheme val="minor"/>
      </font>
      <fill>
        <patternFill patternType="none">
          <fgColor theme="5" tint="0.79998168889431442"/>
          <bgColor auto="1"/>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bgColor auto="1"/>
        </patternFill>
      </fill>
    </dxf>
    <dxf>
      <border>
        <bottom style="thin">
          <color indexed="64"/>
        </bottom>
      </border>
    </dxf>
    <dxf>
      <fill>
        <patternFill patternType="none">
          <bgColor auto="1"/>
        </patternFill>
      </fill>
      <border diagonalUp="0" diagonalDown="0" outline="0">
        <left style="thin">
          <color indexed="64"/>
        </left>
        <right style="thin">
          <color indexed="64"/>
        </right>
        <top/>
        <bottom/>
      </border>
    </dxf>
    <dxf>
      <alignment horizontal="left" vertical="bottom" textRotation="0" wrapText="1" indent="0" justifyLastLine="0" shrinkToFit="0" readingOrder="0"/>
    </dxf>
    <dxf>
      <font>
        <b/>
        <i val="0"/>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10</xdr:col>
      <xdr:colOff>495301</xdr:colOff>
      <xdr:row>14</xdr:row>
      <xdr:rowOff>82977</xdr:rowOff>
    </xdr:to>
    <xdr:pic>
      <xdr:nvPicPr>
        <xdr:cNvPr id="2" name="Obrázek 1">
          <a:extLst>
            <a:ext uri="{FF2B5EF4-FFF2-40B4-BE49-F238E27FC236}">
              <a16:creationId xmlns:a16="http://schemas.microsoft.com/office/drawing/2014/main" id="{EE0B6EDD-C3C4-420D-934B-8476D8BEF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6591300" cy="27499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180975</xdr:rowOff>
    </xdr:from>
    <xdr:to>
      <xdr:col>12</xdr:col>
      <xdr:colOff>391044</xdr:colOff>
      <xdr:row>21</xdr:row>
      <xdr:rowOff>66096</xdr:rowOff>
    </xdr:to>
    <xdr:pic>
      <xdr:nvPicPr>
        <xdr:cNvPr id="3" name="Obrázek 2">
          <a:extLst>
            <a:ext uri="{FF2B5EF4-FFF2-40B4-BE49-F238E27FC236}">
              <a16:creationId xmlns:a16="http://schemas.microsoft.com/office/drawing/2014/main" id="{38083283-EAA0-401B-A4FD-252DF70FC1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657475"/>
          <a:ext cx="7706244" cy="1409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56831</xdr:rowOff>
    </xdr:from>
    <xdr:to>
      <xdr:col>13</xdr:col>
      <xdr:colOff>114300</xdr:colOff>
      <xdr:row>26</xdr:row>
      <xdr:rowOff>152283</xdr:rowOff>
    </xdr:to>
    <xdr:pic>
      <xdr:nvPicPr>
        <xdr:cNvPr id="4" name="Obrázek 3">
          <a:extLst>
            <a:ext uri="{FF2B5EF4-FFF2-40B4-BE49-F238E27FC236}">
              <a16:creationId xmlns:a16="http://schemas.microsoft.com/office/drawing/2014/main" id="{BD4AA51E-0AAA-4091-8C61-D06AC53B1D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057331"/>
          <a:ext cx="8039100" cy="1047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131465</xdr:rowOff>
    </xdr:from>
    <xdr:to>
      <xdr:col>13</xdr:col>
      <xdr:colOff>276225</xdr:colOff>
      <xdr:row>35</xdr:row>
      <xdr:rowOff>20084</xdr:rowOff>
    </xdr:to>
    <xdr:pic>
      <xdr:nvPicPr>
        <xdr:cNvPr id="5" name="Obrázek 4">
          <a:extLst>
            <a:ext uri="{FF2B5EF4-FFF2-40B4-BE49-F238E27FC236}">
              <a16:creationId xmlns:a16="http://schemas.microsoft.com/office/drawing/2014/main" id="{931A64E4-D4F6-4170-AF07-9A973968890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5274965"/>
          <a:ext cx="8201025" cy="1412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34</xdr:row>
      <xdr:rowOff>180975</xdr:rowOff>
    </xdr:from>
    <xdr:to>
      <xdr:col>13</xdr:col>
      <xdr:colOff>246878</xdr:colOff>
      <xdr:row>41</xdr:row>
      <xdr:rowOff>188045</xdr:rowOff>
    </xdr:to>
    <xdr:pic>
      <xdr:nvPicPr>
        <xdr:cNvPr id="6" name="Obrázek 5">
          <a:extLst>
            <a:ext uri="{FF2B5EF4-FFF2-40B4-BE49-F238E27FC236}">
              <a16:creationId xmlns:a16="http://schemas.microsoft.com/office/drawing/2014/main" id="{BC7C6E90-5D6A-4D40-9841-7134769FAC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657975"/>
          <a:ext cx="8171678" cy="134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42</xdr:row>
      <xdr:rowOff>0</xdr:rowOff>
    </xdr:from>
    <xdr:to>
      <xdr:col>13</xdr:col>
      <xdr:colOff>259774</xdr:colOff>
      <xdr:row>65</xdr:row>
      <xdr:rowOff>125839</xdr:rowOff>
    </xdr:to>
    <xdr:pic>
      <xdr:nvPicPr>
        <xdr:cNvPr id="7" name="Obrázek 6">
          <a:extLst>
            <a:ext uri="{FF2B5EF4-FFF2-40B4-BE49-F238E27FC236}">
              <a16:creationId xmlns:a16="http://schemas.microsoft.com/office/drawing/2014/main" id="{DF474FE8-BE6E-4B88-815D-EE801DF2362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8001000"/>
          <a:ext cx="8184574" cy="4507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66</xdr:row>
      <xdr:rowOff>0</xdr:rowOff>
    </xdr:from>
    <xdr:to>
      <xdr:col>13</xdr:col>
      <xdr:colOff>154998</xdr:colOff>
      <xdr:row>82</xdr:row>
      <xdr:rowOff>103347</xdr:rowOff>
    </xdr:to>
    <xdr:pic>
      <xdr:nvPicPr>
        <xdr:cNvPr id="8" name="Obrázek 7">
          <a:extLst>
            <a:ext uri="{FF2B5EF4-FFF2-40B4-BE49-F238E27FC236}">
              <a16:creationId xmlns:a16="http://schemas.microsoft.com/office/drawing/2014/main" id="{97DA79C3-6158-4836-A100-3960124E3B4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12573000"/>
          <a:ext cx="8079798" cy="3151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ulka1" displayName="Tabulka1" ref="A1:B11" totalsRowShown="0">
  <autoFilter ref="A1:B11"/>
  <tableColumns count="2">
    <tableColumn id="1" name="Hlava"/>
    <tableColumn id="2" name="Název" dataDxfId="32"/>
  </tableColumns>
  <tableStyleInfo name="TableStyleMedium2" showFirstColumn="0" showLastColumn="0" showRowStripes="1" showColumnStripes="0"/>
</table>
</file>

<file path=xl/tables/table2.xml><?xml version="1.0" encoding="utf-8"?>
<table xmlns="http://schemas.openxmlformats.org/spreadsheetml/2006/main" id="2" name="Bocni_vzlet" displayName="Bocni_vzlet" ref="A1:H17" totalsRowShown="0" headerRowDxfId="31" dataDxfId="29" headerRowBorderDxfId="30" tableBorderDxfId="28" totalsRowBorderDxfId="27">
  <autoFilter ref="A1:H17"/>
  <tableColumns count="8">
    <tableColumn id="1" name="Tuny" dataDxfId="26"/>
    <tableColumn id="2" name="Hlava 3 (3.4.1)/4 (4.4)2" dataDxfId="25"/>
    <tableColumn id="3" name="Hlava 5 (5.4.1)" dataDxfId="24"/>
    <tableColumn id="6" name="8 (8.4.1)" dataDxfId="23"/>
    <tableColumn id="7" name="8 (8.4.2)" dataDxfId="22"/>
    <tableColumn id="8" name="10 (10.4a)" dataDxfId="21"/>
    <tableColumn id="5" name="10 (10.4b)" dataDxfId="20"/>
    <tableColumn id="4" name="Hlava 14 (4.4.1)" dataDxfId="19"/>
  </tableColumns>
  <tableStyleInfo name="TableStyleLight2" showFirstColumn="0" showLastColumn="0" showRowStripes="1" showColumnStripes="0"/>
</table>
</file>

<file path=xl/tables/table3.xml><?xml version="1.0" encoding="utf-8"?>
<table xmlns="http://schemas.openxmlformats.org/spreadsheetml/2006/main" id="3" name="Priblizeni" displayName="Priblizeni" ref="A1:F11" totalsRowShown="0" headerRowDxfId="18" dataDxfId="17">
  <autoFilter ref="A1:F11"/>
  <tableColumns count="6">
    <tableColumn id="1" name="Tuny" dataDxfId="16"/>
    <tableColumn id="2" name="3 (3.4.1)/4 (4.4)" dataDxfId="15"/>
    <tableColumn id="3" name="5 (5.4.1)" dataDxfId="14"/>
    <tableColumn id="4" name="8 (8.4.1)" dataDxfId="13"/>
    <tableColumn id="5" name="8 (8.4.2)" dataDxfId="12"/>
    <tableColumn id="6" name="14 (14.4.1)" dataDxfId="11"/>
  </tableColumns>
  <tableStyleInfo name="TableStyleMedium2" showFirstColumn="0" showLastColumn="0" showRowStripes="1" showColumnStripes="0"/>
</table>
</file>

<file path=xl/tables/table4.xml><?xml version="1.0" encoding="utf-8"?>
<table xmlns="http://schemas.openxmlformats.org/spreadsheetml/2006/main" id="5" name="prelet_3_motory" displayName="prelet_3_motory" ref="K1:M16" totalsRowShown="0">
  <autoFilter ref="K1:M16"/>
  <tableColumns count="3">
    <tableColumn id="1" name="Tuny"/>
    <tableColumn id="2" name="3 (3.4.1)/4 (4.4)"/>
    <tableColumn id="3" name="14 (14.4.1)"/>
  </tableColumns>
  <tableStyleInfo name="TableStyleMedium2" showFirstColumn="0" showLastColumn="0" showRowStripes="1" showColumnStripes="0"/>
</table>
</file>

<file path=xl/tables/table5.xml><?xml version="1.0" encoding="utf-8"?>
<table xmlns="http://schemas.openxmlformats.org/spreadsheetml/2006/main" id="6" name="prelet_4avic_motory" displayName="prelet_4avic_motory" ref="O1:Q15" totalsRowShown="0">
  <autoFilter ref="O1:Q15"/>
  <tableColumns count="3">
    <tableColumn id="1" name="Tuny"/>
    <tableColumn id="2" name="3 (3.4.1)/4 (4.4)"/>
    <tableColumn id="3" name="14 (14.4.1)"/>
  </tableColumns>
  <tableStyleInfo name="TableStyleMedium2" showFirstColumn="0" showLastColumn="0" showRowStripes="1" showColumnStripes="0"/>
</table>
</file>

<file path=xl/tables/table6.xml><?xml version="1.0" encoding="utf-8"?>
<table xmlns="http://schemas.openxmlformats.org/spreadsheetml/2006/main" id="4" name="prelet_1_2_motory" displayName="prelet_1_2_motory" ref="A1:I16" totalsRowShown="0" headerRowDxfId="10" dataDxfId="9" tableBorderDxfId="8">
  <autoFilter ref="A1:I16"/>
  <tableColumns count="9">
    <tableColumn id="1" name="Tuny" dataDxfId="7"/>
    <tableColumn id="2" name="3 (3.4.1)/4 (4.4)"/>
    <tableColumn id="3" name="5 (5.4.1)" dataDxfId="6"/>
    <tableColumn id="4" name="6 (6.3.1)" dataDxfId="5"/>
    <tableColumn id="5" name="8 (8.4.1)" dataDxfId="4"/>
    <tableColumn id="6" name="8 (8.4.2)" dataDxfId="3"/>
    <tableColumn id="7" name="11 (11.4.1)" dataDxfId="2">
      <calculatedColumnFormula>83.03+9.97*LOG10('Noise category calculation'!$B$3)</calculatedColumnFormula>
    </tableColumn>
    <tableColumn id="8" name="11 (11.4.2)" dataDxfId="1">
      <calculatedColumnFormula>80.49+(9.97*LOG10('Noise category calculation'!$B$3))</calculatedColumnFormula>
    </tableColumn>
    <tableColumn id="9" name="14 (14.4.1)" dataDxfId="0"/>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C18"/>
  <sheetViews>
    <sheetView tabSelected="1" workbookViewId="0">
      <selection activeCell="B3" sqref="B3"/>
    </sheetView>
  </sheetViews>
  <sheetFormatPr defaultRowHeight="15" x14ac:dyDescent="0.25"/>
  <cols>
    <col min="1" max="1" width="64.7109375" bestFit="1" customWidth="1"/>
    <col min="2" max="2" width="43.5703125" style="6" bestFit="1" customWidth="1"/>
    <col min="3" max="3" width="73.28515625" style="6" bestFit="1" customWidth="1"/>
  </cols>
  <sheetData>
    <row r="1" spans="1:3" ht="126" customHeight="1" x14ac:dyDescent="0.25">
      <c r="A1" s="36" t="s">
        <v>32</v>
      </c>
      <c r="B1" s="29" t="s">
        <v>1</v>
      </c>
      <c r="C1" s="31" t="str">
        <f>VLOOKUP(B1,Tabulka1[#All],2,FALSE)</f>
        <v>1.SUBSONIC JETS (APPLICATION ACCEPTED FROM 6. 10. 1977 TO 1. 1. 2006)
2.PROP MTOW ABOVE 8 618 kg (APPLICATION ACCEPTED FROM 1. 1. 1985 TO 1. 1. 2006)'   3. SUBSONIC JETS &amp; PROPS MTOW ABOVE 55 000 kg incl. 
(APPLICATION ACCEPTED FROM  1. 1. 2006 incl TO 31. 12. 2017)
4. SUBSONIC JETS MTOW BELOW 55 000 kg
(APPLICATION ACCEPTED FROM 1. 1. 2006 incl. TO 31. 12. 2020)
5. PROPS MTOW FROM 8 618 kg TO 55 000 kg
(APPLICATION ACCEPTED FROM 1. 1. 2006 incl. TO 31. 12. 2020)</v>
      </c>
    </row>
    <row r="2" spans="1:3" x14ac:dyDescent="0.25">
      <c r="A2" s="37" t="s">
        <v>33</v>
      </c>
      <c r="B2" s="28">
        <v>1</v>
      </c>
      <c r="C2" s="32"/>
    </row>
    <row r="3" spans="1:3" x14ac:dyDescent="0.25">
      <c r="A3" s="37" t="s">
        <v>20</v>
      </c>
      <c r="B3" s="28"/>
      <c r="C3" s="32"/>
    </row>
    <row r="4" spans="1:3" x14ac:dyDescent="0.25">
      <c r="A4" s="37" t="s">
        <v>34</v>
      </c>
      <c r="B4" s="28"/>
      <c r="C4" s="33" t="str">
        <f>IFERROR(IF(B8-B4&lt;0,"fail to comply with noise standards","comply with noise standard"),"wrong input")</f>
        <v>comply with noise standard</v>
      </c>
    </row>
    <row r="5" spans="1:3" x14ac:dyDescent="0.25">
      <c r="A5" s="37" t="s">
        <v>35</v>
      </c>
      <c r="B5" s="28"/>
      <c r="C5" s="33" t="str">
        <f t="shared" ref="C5:C6" si="0">IFERROR(IF(B9-B5&lt;0,"fail to comply with noise standards","comply with noise standard"),"wrong input")</f>
        <v>comply with noise standard</v>
      </c>
    </row>
    <row r="6" spans="1:3" x14ac:dyDescent="0.25">
      <c r="A6" s="37" t="s">
        <v>36</v>
      </c>
      <c r="B6" s="28"/>
      <c r="C6" s="33" t="str">
        <f t="shared" si="0"/>
        <v>comply with noise standard</v>
      </c>
    </row>
    <row r="7" spans="1:3" ht="15.75" thickBot="1" x14ac:dyDescent="0.3">
      <c r="A7" s="38" t="s">
        <v>48</v>
      </c>
      <c r="B7" s="30" t="s">
        <v>26</v>
      </c>
      <c r="C7" s="32"/>
    </row>
    <row r="8" spans="1:3" x14ac:dyDescent="0.25">
      <c r="A8" s="39" t="s">
        <v>37</v>
      </c>
      <c r="B8" s="43">
        <f>IFERROR(ROUND(IF(B1="3 (3.4.1)/4 (4.4)",VLOOKUP(B3,Bocni_vzlet[],2,1),IF('Noise category calculation'!B1="5 (5.4.1)",VLOOKUP('Noise category calculation'!B3,Bocni_vzlet[],3,1),IF('Noise category calculation'!B1="8 (8.4.1)",VLOOKUP('Noise category calculation'!B3,Bocni_vzlet[],4,1),
IF('Noise category calculation'!B1="8 (8.4.2)",VLOOKUP('Noise category calculation'!B3,Bocni_vzlet[],5,1),IF('Noise category calculation'!B1="10 (10.4a)",VLOOKUP('Noise category calculation'!B3,Bocni_vzlet[],6,1),IF('Noise category calculation'!B1="10 (10.4b)",VLOOKUP('Noise category calculation'!B3,Bocni_vzlet[],7,1),
IF('Noise category calculation'!B1="14 (14.4.1)",VLOOKUP('Noise category calculation'!B3,Bocni_vzlet[],8,1),"nestanoveno"))))))),4),"-")</f>
        <v>94</v>
      </c>
      <c r="C8" s="34">
        <f>IFERROR(ROUND(B8-B4,2),"-")</f>
        <v>94</v>
      </c>
    </row>
    <row r="9" spans="1:3" x14ac:dyDescent="0.25">
      <c r="A9" s="39" t="s">
        <v>38</v>
      </c>
      <c r="B9" s="43">
        <f>IFERROR(ROUND(IF(B1="3 (3.4.1)/4 (4.4)",VLOOKUP(B3,Priblizeni[],2,1),IF('Noise category calculation'!B1="5 (5.4.1)",VLOOKUP('Noise category calculation'!B3,Priblizeni[],3,1),IF('Noise category calculation'!B1="8 (8.4.1)",VLOOKUP('Noise category calculation'!B3,Priblizeni[],4,1),
IF('Noise category calculation'!B1="8 (8.4.2)",VLOOKUP('Noise category calculation'!B3,Priblizeni[],5,1),IF('Noise category calculation'!B1="14 (14.4.1)",VLOOKUP('Noise category calculation'!B3,Priblizeni[],6,1),"nestanoveno"))))),4),"-")</f>
        <v>98</v>
      </c>
      <c r="C9" s="34">
        <f t="shared" ref="C9:C10" si="1">IFERROR(ROUND(B9-B5,2),"-")</f>
        <v>98</v>
      </c>
    </row>
    <row r="10" spans="1:3" x14ac:dyDescent="0.25">
      <c r="A10" s="39" t="s">
        <v>39</v>
      </c>
      <c r="B10" s="43">
        <f>IFERROR(ROUND(IF(AND(B1="3 (3.4.1)/4 (4.4)",B2&lt;=2),VLOOKUP(B3,prelet_1_2_motory[],2,1),IF(AND(B1="3 (3.4.1)/4 (4.4)",B2=3),VLOOKUP(B3,prelet_3_motory[],2,1),
IF(AND(B1="3 (3.4.1)/4 (4.4)",B2&gt;3),VLOOKUP(B3,prelet_4avic_motory[],2,1),
IF(AND(B1="14 (14.4.1)",B2&lt;=2),VLOOKUP(B3,prelet_1_2_motory[],9,1),IF(AND(B1="14 (14.4.1)",B2=3),VLOOKUP(B3,prelet_3_motory[],3,1),
IF(AND(B1="14 (14.4.1)",B2&gt;3),VLOOKUP(B3,prelet_4avic_motory[],3,1),
IF('Noise category calculation'!B1="5 (5.4.1)",VLOOKUP('Noise category calculation'!B3,prelet_1_2_motory[],3,1),IF('Noise category calculation'!B1="6 (6.3.1)",VLOOKUP('Noise category calculation'!B3,prelet_1_2_motory[],4,1),
IF('Noise category calculation'!B1="8 (8.4.1)",VLOOKUP('Noise category calculation'!B3,prelet_1_2_motory[],5,1),IF('Noise category calculation'!B1="8 (8.4.2)",VLOOKUP('Noise category calculation'!B3,prelet_1_2_motory[],6,1),
IF('Noise category calculation'!B1="11 (11.4.1)",VLOOKUP('Noise category calculation'!B3,prelet_1_2_motory[],7,1),IF('Noise category calculation'!B1="11 (11.4.2)",VLOOKUP('Noise category calculation'!B3,prelet_1_2_motory[],8,1),"nestanoveno")))))))))))),4),"-")</f>
        <v>89</v>
      </c>
      <c r="C10" s="34">
        <f t="shared" si="1"/>
        <v>89</v>
      </c>
    </row>
    <row r="11" spans="1:3" ht="15.75" thickBot="1" x14ac:dyDescent="0.3">
      <c r="A11" s="40" t="s">
        <v>40</v>
      </c>
      <c r="B11" s="44">
        <f>ROUND(SUM(C8:C10),2)</f>
        <v>281</v>
      </c>
      <c r="C11" s="32"/>
    </row>
    <row r="12" spans="1:3" ht="19.5" thickBot="1" x14ac:dyDescent="0.35">
      <c r="A12" s="41" t="s">
        <v>41</v>
      </c>
      <c r="B12" s="45">
        <f>VALUE(IF(B11&lt;0,"14",IF(B11&lt;2.5,"13",IF(B11&lt;5,"12",IF(B11&lt;7.5,"11",IF(B11&lt;10,"10",IF(B11&lt;12.5,"9",IF(B11&lt;15,"8",IF(B11&lt;17.5,"7",
IF(B11&lt;20,"6",IF(B11&lt;22.5,"5",IF(B11&lt;25,"4",IF(B11&lt;27.5,"3",IF(B11&lt;30,"2","1"))))))))))))))</f>
        <v>1</v>
      </c>
      <c r="C12" s="35" t="str">
        <f>IF(B12&lt;10,"allowed for nighttime operation",IF(B12&lt;14,"not allowed for nighttime operation but allowed for daytime operation","not allowed to operate in LKPR"))</f>
        <v>allowed for nighttime operation</v>
      </c>
    </row>
    <row r="13" spans="1:3" x14ac:dyDescent="0.25">
      <c r="A13" s="40" t="s">
        <v>42</v>
      </c>
      <c r="B13" s="46">
        <f>ROUNDUP(B3,0)</f>
        <v>0</v>
      </c>
    </row>
    <row r="14" spans="1:3" x14ac:dyDescent="0.25">
      <c r="A14" s="40" t="s">
        <v>44</v>
      </c>
      <c r="B14" s="47" t="str">
        <f>IF(B13&lt;=9,"FREE OF NOISE CHARGE",IF(B12=14,90,IF(B12=13,36,IF(B12=12,28,IF(B12=11,22,IF(B12=10,16,IF(B12=9,8,IF(B12=8,4,IF(B12=7,2,
IF(B12=6,1,IF(B12=5,0.7,IF(B12=4,0.5,IF(B12=3,0.3,IF(B12=2,0.2,IF(B12=1,0.1,)))))))))))))))</f>
        <v>FREE OF NOISE CHARGE</v>
      </c>
    </row>
    <row r="15" spans="1:3" x14ac:dyDescent="0.25">
      <c r="A15" s="40" t="s">
        <v>43</v>
      </c>
      <c r="B15" s="47">
        <f>IF(B14="FREE OF NOISE CHARGE",0,B13*B14)</f>
        <v>0</v>
      </c>
    </row>
    <row r="16" spans="1:3" x14ac:dyDescent="0.25">
      <c r="A16" s="40" t="s">
        <v>45</v>
      </c>
      <c r="B16" s="47" t="str">
        <f>IF(B13&lt;=9,"FREE OF NOISE CHARGE",IF(B12=14,540,IF(B12=13,216,IF(B12=12,168,IF(B12=11,132,IF(B12=10,96,IF(B12=9,32,IF(B12=8,16,IF(B12=7,6,
IF(B12=6,3,IF(B12=5,2.1,IF(B12=4,1.5,IF(B12=3,0.9,IF(B12=2,0.6,IF(B12=1,0.3,)))))))))))))))</f>
        <v>FREE OF NOISE CHARGE</v>
      </c>
    </row>
    <row r="17" spans="1:2" ht="15.75" thickBot="1" x14ac:dyDescent="0.3">
      <c r="A17" s="40" t="s">
        <v>46</v>
      </c>
      <c r="B17" s="47">
        <f>IF(B16="FREE OF NOISE CHARGE",0,B13*B16)</f>
        <v>0</v>
      </c>
    </row>
    <row r="18" spans="1:2" ht="19.5" thickBot="1" x14ac:dyDescent="0.35">
      <c r="A18" s="42" t="s">
        <v>47</v>
      </c>
      <c r="B18" s="48">
        <f>IF(B7="ARR(06-22),DEP(06-22)",B15+B15,IF(B7="ARR(22-06),DEP(22-06)",B17+B17,IF(B7="ARR(06-22)↔DEP(22-06)",B15+B17,"INPUT time of operations in cell B7")))</f>
        <v>0</v>
      </c>
    </row>
  </sheetData>
  <sheetProtection algorithmName="SHA-512" hashValue="3Ki7voWZp/u54XiV//XXrzsbQWw4W2ontPn8ZGc/tFZlr+yqQFw/gU1tm/ImENWdG2ip/m3vzfmzaAl+OkEQeQ==" saltValue="9mo+wTdojnWBmfvLksQrGg==" spinCount="100000" sheet="1" objects="1" scenarios="1"/>
  <conditionalFormatting sqref="C12">
    <cfRule type="containsText" dxfId="33" priority="1" operator="containsText" text="NOT ALLOWED TO OPERATE IN LKPR">
      <formula>NOT(ISERROR(SEARCH("NOT ALLOWED TO OPERATE IN LKPR",C12)))</formula>
    </cfRule>
  </conditionalFormatting>
  <dataValidations count="1">
    <dataValidation type="list" allowBlank="1" showInputMessage="1" showErrorMessage="1" sqref="B7">
      <formula1>Rotace</formula1>
    </dataValidation>
  </dataValidation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Seznamy!$A$2:$A$11</xm:f>
          </x14:formula1>
          <xm:sqref>B1</xm:sqref>
        </x14:dataValidation>
        <x14:dataValidation type="list" allowBlank="1" showInputMessage="1" showErrorMessage="1">
          <x14:formula1>
            <xm:f>Seznamy!$F$2:$F$7</xm:f>
          </x14:formula1>
          <xm:sqref>B2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11"/>
  <sheetViews>
    <sheetView workbookViewId="0">
      <selection activeCell="G3" sqref="G3"/>
    </sheetView>
  </sheetViews>
  <sheetFormatPr defaultRowHeight="15" x14ac:dyDescent="0.25"/>
  <cols>
    <col min="1" max="1" width="14.42578125" bestFit="1" customWidth="1"/>
    <col min="2" max="2" width="78.28515625" customWidth="1"/>
    <col min="6" max="6" width="13.140625" bestFit="1" customWidth="1"/>
    <col min="7" max="7" width="23.42578125" bestFit="1" customWidth="1"/>
  </cols>
  <sheetData>
    <row r="1" spans="1:7" x14ac:dyDescent="0.25">
      <c r="A1" t="s">
        <v>0</v>
      </c>
      <c r="B1" t="s">
        <v>11</v>
      </c>
      <c r="F1" t="s">
        <v>19</v>
      </c>
      <c r="G1" t="s">
        <v>25</v>
      </c>
    </row>
    <row r="2" spans="1:7" ht="120" x14ac:dyDescent="0.25">
      <c r="A2" s="1" t="s">
        <v>1</v>
      </c>
      <c r="B2" s="2" t="s">
        <v>29</v>
      </c>
      <c r="F2">
        <v>1</v>
      </c>
      <c r="G2" t="s">
        <v>26</v>
      </c>
    </row>
    <row r="3" spans="1:7" ht="30" x14ac:dyDescent="0.25">
      <c r="A3" t="s">
        <v>2</v>
      </c>
      <c r="B3" s="2" t="s">
        <v>12</v>
      </c>
      <c r="F3">
        <v>2</v>
      </c>
      <c r="G3" t="s">
        <v>27</v>
      </c>
    </row>
    <row r="4" spans="1:7" ht="30" x14ac:dyDescent="0.25">
      <c r="A4" t="s">
        <v>3</v>
      </c>
      <c r="B4" s="2" t="s">
        <v>13</v>
      </c>
      <c r="F4">
        <v>3</v>
      </c>
      <c r="G4" t="s">
        <v>28</v>
      </c>
    </row>
    <row r="5" spans="1:7" ht="30" x14ac:dyDescent="0.25">
      <c r="A5" t="s">
        <v>4</v>
      </c>
      <c r="B5" s="3" t="s">
        <v>30</v>
      </c>
      <c r="F5">
        <v>4</v>
      </c>
    </row>
    <row r="6" spans="1:7" x14ac:dyDescent="0.25">
      <c r="A6" t="s">
        <v>5</v>
      </c>
      <c r="B6" s="4" t="s">
        <v>14</v>
      </c>
      <c r="F6">
        <v>5</v>
      </c>
    </row>
    <row r="7" spans="1:7" ht="30" x14ac:dyDescent="0.25">
      <c r="A7" t="s">
        <v>6</v>
      </c>
      <c r="B7" s="2" t="s">
        <v>15</v>
      </c>
      <c r="F7">
        <v>6</v>
      </c>
    </row>
    <row r="8" spans="1:7" ht="60" x14ac:dyDescent="0.25">
      <c r="A8" t="s">
        <v>7</v>
      </c>
      <c r="B8" s="2" t="s">
        <v>31</v>
      </c>
    </row>
    <row r="9" spans="1:7" ht="30" x14ac:dyDescent="0.25">
      <c r="A9" t="s">
        <v>8</v>
      </c>
      <c r="B9" s="2" t="s">
        <v>16</v>
      </c>
    </row>
    <row r="10" spans="1:7" ht="30" x14ac:dyDescent="0.25">
      <c r="A10" t="s">
        <v>9</v>
      </c>
      <c r="B10" s="2" t="s">
        <v>17</v>
      </c>
    </row>
    <row r="11" spans="1:7" ht="90" x14ac:dyDescent="0.25">
      <c r="A11" t="s">
        <v>10</v>
      </c>
      <c r="B11" s="2" t="s">
        <v>18</v>
      </c>
    </row>
  </sheetData>
  <sheetProtection algorithmName="SHA-512" hashValue="FI5PmjjRjO9bTZAPETLcu6I0ApnuXhpE8V3uTxY/HYBATpm9IMFs8fh09AonjDosB2xThYPolHFG1ZAIL9ZDkQ==" saltValue="eU7+TTnuHnqkk1swiSr2dQ==" spinCount="100000" sheet="1" objects="1" scenarios="1"/>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J17"/>
  <sheetViews>
    <sheetView workbookViewId="0">
      <selection activeCell="G3" sqref="G3"/>
    </sheetView>
  </sheetViews>
  <sheetFormatPr defaultRowHeight="15" x14ac:dyDescent="0.25"/>
  <cols>
    <col min="1" max="1" width="21.7109375" customWidth="1"/>
    <col min="2" max="2" width="25.42578125" style="6" bestFit="1" customWidth="1"/>
    <col min="3" max="3" width="18" bestFit="1" customWidth="1"/>
    <col min="4" max="4" width="19" bestFit="1" customWidth="1"/>
    <col min="6" max="6" width="12.5703125" bestFit="1" customWidth="1"/>
    <col min="7" max="7" width="14.140625" bestFit="1" customWidth="1"/>
    <col min="8" max="8" width="19" bestFit="1" customWidth="1"/>
  </cols>
  <sheetData>
    <row r="1" spans="1:10" ht="15.75" thickBot="1" x14ac:dyDescent="0.3">
      <c r="A1" s="7" t="s">
        <v>24</v>
      </c>
      <c r="B1" s="8" t="s">
        <v>23</v>
      </c>
      <c r="C1" s="9" t="s">
        <v>21</v>
      </c>
      <c r="D1" s="10" t="s">
        <v>4</v>
      </c>
      <c r="E1" s="10" t="s">
        <v>5</v>
      </c>
      <c r="F1" s="10" t="s">
        <v>6</v>
      </c>
      <c r="G1" s="10" t="s">
        <v>7</v>
      </c>
      <c r="H1" s="10" t="s">
        <v>22</v>
      </c>
      <c r="J1" s="5"/>
    </row>
    <row r="2" spans="1:10" x14ac:dyDescent="0.25">
      <c r="A2" s="11">
        <v>0</v>
      </c>
      <c r="B2" s="12">
        <v>94</v>
      </c>
      <c r="C2" s="22">
        <v>96</v>
      </c>
      <c r="D2" s="23">
        <v>89</v>
      </c>
      <c r="E2" s="23">
        <v>86</v>
      </c>
      <c r="F2" s="23">
        <v>76</v>
      </c>
      <c r="G2" s="23">
        <v>70</v>
      </c>
      <c r="H2" s="24">
        <v>88.6</v>
      </c>
    </row>
    <row r="3" spans="1:10" x14ac:dyDescent="0.25">
      <c r="A3" s="11">
        <v>0.56999999999999995</v>
      </c>
      <c r="B3" s="12">
        <v>94</v>
      </c>
      <c r="C3" s="22">
        <v>96</v>
      </c>
      <c r="D3" s="23">
        <v>89</v>
      </c>
      <c r="E3" s="23">
        <v>86</v>
      </c>
      <c r="F3" s="23">
        <v>76</v>
      </c>
      <c r="G3" s="23" t="e">
        <f>78.71+(35.7*LOG10('Noise category calculation'!$B$3))</f>
        <v>#NUM!</v>
      </c>
      <c r="H3" s="24">
        <v>88.6</v>
      </c>
    </row>
    <row r="4" spans="1:10" x14ac:dyDescent="0.25">
      <c r="A4" s="11">
        <v>0.6</v>
      </c>
      <c r="B4" s="12">
        <v>94</v>
      </c>
      <c r="C4" s="22">
        <v>96</v>
      </c>
      <c r="D4" s="23">
        <v>89</v>
      </c>
      <c r="E4" s="23">
        <v>86</v>
      </c>
      <c r="F4" s="23" t="e">
        <f>83.23+(32.67*LOG10('Noise category calculation'!$B$3))</f>
        <v>#NUM!</v>
      </c>
      <c r="G4" s="23" t="e">
        <f>78.71+(35.7*LOG10('Noise category calculation'!$B$3))</f>
        <v>#NUM!</v>
      </c>
      <c r="H4" s="24">
        <v>88.6</v>
      </c>
    </row>
    <row r="5" spans="1:10" x14ac:dyDescent="0.25">
      <c r="A5" s="11">
        <v>0.78800000000000003</v>
      </c>
      <c r="B5" s="12">
        <v>94</v>
      </c>
      <c r="C5" s="22">
        <v>96</v>
      </c>
      <c r="D5" s="23" t="e">
        <f>90.03+(9.97*LOG10('Noise category calculation'!$B$3))</f>
        <v>#NUM!</v>
      </c>
      <c r="E5" s="23" t="e">
        <f>87.03+(9.97*LOG10('Noise category calculation'!$B$3))</f>
        <v>#NUM!</v>
      </c>
      <c r="F5" s="23" t="e">
        <f>83.23+(32.67*LOG10('Noise category calculation'!$B$3))</f>
        <v>#NUM!</v>
      </c>
      <c r="G5" s="23" t="e">
        <f>78.71+(35.7*LOG10('Noise category calculation'!$B$3))</f>
        <v>#NUM!</v>
      </c>
      <c r="H5" s="24">
        <v>88.6</v>
      </c>
    </row>
    <row r="6" spans="1:10" x14ac:dyDescent="0.25">
      <c r="A6" s="11">
        <v>1.4</v>
      </c>
      <c r="B6" s="12">
        <v>94</v>
      </c>
      <c r="C6" s="22">
        <v>96</v>
      </c>
      <c r="D6" s="23" t="e">
        <f>90.03+(9.97*LOG10('Noise category calculation'!$B$3))</f>
        <v>#NUM!</v>
      </c>
      <c r="E6" s="23" t="e">
        <f>87.03+(9.97*LOG10('Noise category calculation'!$B$3))</f>
        <v>#NUM!</v>
      </c>
      <c r="F6" s="23">
        <v>88</v>
      </c>
      <c r="G6" s="23" t="e">
        <f>78.71+(35.7*LOG10('Noise category calculation'!$B$3))</f>
        <v>#NUM!</v>
      </c>
      <c r="H6" s="24">
        <v>88.6</v>
      </c>
    </row>
    <row r="7" spans="1:10" x14ac:dyDescent="0.25">
      <c r="A7" s="11">
        <v>1.417</v>
      </c>
      <c r="B7" s="12">
        <v>94</v>
      </c>
      <c r="C7" s="22">
        <v>96</v>
      </c>
      <c r="D7" s="23" t="e">
        <f>90.03+(9.97*LOG10('Noise category calculation'!$B$3))</f>
        <v>#NUM!</v>
      </c>
      <c r="E7" s="23" t="e">
        <f>87.03+(9.97*LOG10('Noise category calculation'!$B$3))</f>
        <v>#NUM!</v>
      </c>
      <c r="F7" s="23">
        <v>88</v>
      </c>
      <c r="G7" s="23" t="e">
        <f>78.71+(35.7*LOG10('Noise category calculation'!$B$3))</f>
        <v>#NUM!</v>
      </c>
      <c r="H7" s="24">
        <v>88.6</v>
      </c>
    </row>
    <row r="8" spans="1:10" x14ac:dyDescent="0.25">
      <c r="A8" s="11">
        <v>1.5</v>
      </c>
      <c r="B8" s="12">
        <v>94</v>
      </c>
      <c r="C8" s="22">
        <v>96</v>
      </c>
      <c r="D8" s="23" t="e">
        <f>90.03+(9.97*LOG10('Noise category calculation'!$B$3))</f>
        <v>#NUM!</v>
      </c>
      <c r="E8" s="23" t="e">
        <f>87.03+(9.97*LOG10('Noise category calculation'!$B$3))</f>
        <v>#NUM!</v>
      </c>
      <c r="F8" s="23">
        <v>88</v>
      </c>
      <c r="G8" s="23">
        <v>85</v>
      </c>
      <c r="H8" s="24">
        <v>88.6</v>
      </c>
    </row>
    <row r="9" spans="1:10" x14ac:dyDescent="0.25">
      <c r="A9" s="11">
        <v>2</v>
      </c>
      <c r="B9" s="12">
        <v>94</v>
      </c>
      <c r="C9" s="22">
        <v>96</v>
      </c>
      <c r="D9" s="23" t="e">
        <f>90.03+(9.97*LOG10('Noise category calculation'!$B$3))</f>
        <v>#NUM!</v>
      </c>
      <c r="E9" s="23" t="e">
        <f>87.03+(9.97*LOG10('Noise category calculation'!$B$3))</f>
        <v>#NUM!</v>
      </c>
      <c r="F9" s="23">
        <v>88</v>
      </c>
      <c r="G9" s="23">
        <v>85</v>
      </c>
      <c r="H9" s="24" t="e">
        <f>86.03754+(8.512295*LOG10('Noise category calculation'!$B$3))</f>
        <v>#NUM!</v>
      </c>
    </row>
    <row r="10" spans="1:10" x14ac:dyDescent="0.25">
      <c r="A10" s="11">
        <v>8.6180000000000003</v>
      </c>
      <c r="B10" s="12">
        <v>94</v>
      </c>
      <c r="C10" s="22">
        <v>96</v>
      </c>
      <c r="D10" s="23" t="e">
        <f>90.03+(9.97*LOG10('Noise category calculation'!$B$3))</f>
        <v>#NUM!</v>
      </c>
      <c r="E10" s="23" t="e">
        <f>87.03+(9.97*LOG10('Noise category calculation'!$B$3))</f>
        <v>#NUM!</v>
      </c>
      <c r="F10" s="23">
        <v>88</v>
      </c>
      <c r="G10" s="23">
        <v>85</v>
      </c>
      <c r="H10" s="24">
        <v>94</v>
      </c>
    </row>
    <row r="11" spans="1:10" x14ac:dyDescent="0.25">
      <c r="A11" s="11">
        <v>34</v>
      </c>
      <c r="B11" s="12">
        <v>94</v>
      </c>
      <c r="C11" s="22" t="e">
        <f>85.83+(6.64*LOG10('Noise category calculation'!$B$3))</f>
        <v>#NUM!</v>
      </c>
      <c r="D11" s="23" t="e">
        <f>90.03+(9.97*LOG10('Noise category calculation'!$B$3))</f>
        <v>#NUM!</v>
      </c>
      <c r="E11" s="23" t="e">
        <f>87.03+(9.97*LOG10('Noise category calculation'!$B$3))</f>
        <v>#NUM!</v>
      </c>
      <c r="F11" s="23">
        <v>88</v>
      </c>
      <c r="G11" s="23">
        <v>85</v>
      </c>
      <c r="H11" s="24">
        <v>94</v>
      </c>
    </row>
    <row r="12" spans="1:10" x14ac:dyDescent="0.25">
      <c r="A12" s="11">
        <v>35</v>
      </c>
      <c r="B12" s="12" t="e">
        <f>80.87+(8.51*LOG10('Noise category calculation'!$B$3))</f>
        <v>#NUM!</v>
      </c>
      <c r="C12" s="22" t="e">
        <f>85.83+(6.64*LOG10('Noise category calculation'!$B$3))</f>
        <v>#NUM!</v>
      </c>
      <c r="D12" s="23" t="e">
        <f>90.03+(9.97*LOG10('Noise category calculation'!$B$3))</f>
        <v>#NUM!</v>
      </c>
      <c r="E12" s="23" t="e">
        <f>87.03+(9.97*LOG10('Noise category calculation'!$B$3))</f>
        <v>#NUM!</v>
      </c>
      <c r="F12" s="23">
        <v>88</v>
      </c>
      <c r="G12" s="23">
        <v>85</v>
      </c>
      <c r="H12" s="24" t="e">
        <f>80.86511+(8.50668*LOG10('Noise category calculation'!$B$3))</f>
        <v>#NUM!</v>
      </c>
    </row>
    <row r="13" spans="1:10" x14ac:dyDescent="0.25">
      <c r="A13" s="11">
        <v>80</v>
      </c>
      <c r="B13" s="12" t="e">
        <f>80.87+(8.51*LOG10('Noise category calculation'!$B$3))</f>
        <v>#NUM!</v>
      </c>
      <c r="C13" s="22" t="e">
        <f>85.83+(6.64*LOG10('Noise category calculation'!$B$3))</f>
        <v>#NUM!</v>
      </c>
      <c r="D13" s="23">
        <v>109</v>
      </c>
      <c r="E13" s="23">
        <v>106</v>
      </c>
      <c r="F13" s="23">
        <v>88</v>
      </c>
      <c r="G13" s="23">
        <v>85</v>
      </c>
      <c r="H13" s="24" t="e">
        <f>80.86511+(8.50668*LOG10('Noise category calculation'!$B$3))</f>
        <v>#NUM!</v>
      </c>
    </row>
    <row r="14" spans="1:10" x14ac:dyDescent="0.25">
      <c r="A14" s="11">
        <v>325</v>
      </c>
      <c r="B14" s="12" t="e">
        <f>80.87+(8.51*LOG10('Noise category calculation'!$B$3))</f>
        <v>#NUM!</v>
      </c>
      <c r="C14" s="22" t="e">
        <f>85.83+(6.64*LOG10('Noise category calculation'!$B$3))</f>
        <v>#NUM!</v>
      </c>
      <c r="D14" s="23">
        <v>109</v>
      </c>
      <c r="E14" s="23">
        <v>106</v>
      </c>
      <c r="F14" s="23">
        <v>88</v>
      </c>
      <c r="G14" s="23">
        <v>85</v>
      </c>
      <c r="H14" s="24" t="e">
        <f>80.86511+(8.50668*LOG10('Noise category calculation'!$B$3))</f>
        <v>#NUM!</v>
      </c>
    </row>
    <row r="15" spans="1:10" x14ac:dyDescent="0.25">
      <c r="A15" s="11">
        <v>384.7</v>
      </c>
      <c r="B15" s="12" t="e">
        <f>80.87+(8.51*LOG10('Noise category calculation'!$B$3))</f>
        <v>#NUM!</v>
      </c>
      <c r="C15" s="22">
        <v>103</v>
      </c>
      <c r="D15" s="23">
        <v>109</v>
      </c>
      <c r="E15" s="23">
        <v>106</v>
      </c>
      <c r="F15" s="23">
        <v>88</v>
      </c>
      <c r="G15" s="23">
        <v>85</v>
      </c>
      <c r="H15" s="24" t="e">
        <f>80.86511+(8.50668*LOG10('Noise category calculation'!$B$3))</f>
        <v>#NUM!</v>
      </c>
    </row>
    <row r="16" spans="1:10" x14ac:dyDescent="0.25">
      <c r="A16" s="11">
        <v>400</v>
      </c>
      <c r="B16" s="12">
        <v>103</v>
      </c>
      <c r="C16" s="22">
        <v>103</v>
      </c>
      <c r="D16" s="23">
        <v>109</v>
      </c>
      <c r="E16" s="23">
        <v>106</v>
      </c>
      <c r="F16" s="23">
        <v>88</v>
      </c>
      <c r="G16" s="23">
        <v>85</v>
      </c>
      <c r="H16" s="24">
        <v>103</v>
      </c>
    </row>
    <row r="17" spans="1:8" x14ac:dyDescent="0.25">
      <c r="A17" s="13">
        <v>1000</v>
      </c>
      <c r="B17" s="14">
        <f>IF(Boční_VZLET!$A17&lt;=35,94,IF(Boční_VZLET!$A17&lt;400,80.87+(8.51*LOG10(Boční_VZLET!$A17)),103))</f>
        <v>103</v>
      </c>
      <c r="C17" s="25">
        <v>103</v>
      </c>
      <c r="D17" s="26">
        <v>109</v>
      </c>
      <c r="E17" s="26">
        <v>106</v>
      </c>
      <c r="F17" s="26">
        <v>88</v>
      </c>
      <c r="G17" s="26">
        <v>85</v>
      </c>
      <c r="H17" s="27">
        <v>103</v>
      </c>
    </row>
  </sheetData>
  <sheetProtection algorithmName="SHA-512" hashValue="8+2xN4WCyh2AGCQ+beLOawbDjD0mpnLHCH6ZHFoAy5fLS8HDq6chnXWfHm3uy/M3Vg2Qj8vWXlRjMF3vSYOJgg==" saltValue="Jvmbo0dJcsZYkbKxM1/mrw==" spinCount="100000" sheet="1" objects="1" scenarios="1"/>
  <pageMargins left="0.7" right="0.7" top="0.78740157499999996" bottom="0.78740157499999996"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F11"/>
  <sheetViews>
    <sheetView workbookViewId="0">
      <selection activeCell="G3" sqref="G3"/>
    </sheetView>
  </sheetViews>
  <sheetFormatPr defaultRowHeight="15" x14ac:dyDescent="0.25"/>
  <cols>
    <col min="1" max="1" width="9.85546875" style="6" bestFit="1" customWidth="1"/>
    <col min="2" max="2" width="19" style="6" bestFit="1" customWidth="1"/>
    <col min="3" max="4" width="12.5703125" style="6" bestFit="1" customWidth="1"/>
    <col min="5" max="5" width="12" style="6" bestFit="1" customWidth="1"/>
    <col min="6" max="6" width="12.28515625" style="6" bestFit="1" customWidth="1"/>
  </cols>
  <sheetData>
    <row r="1" spans="1:6" x14ac:dyDescent="0.25">
      <c r="A1" s="15" t="s">
        <v>24</v>
      </c>
      <c r="B1" s="15" t="s">
        <v>1</v>
      </c>
      <c r="C1" s="15" t="s">
        <v>2</v>
      </c>
      <c r="D1" s="15" t="s">
        <v>4</v>
      </c>
      <c r="E1" s="15" t="s">
        <v>5</v>
      </c>
      <c r="F1" s="15" t="s">
        <v>10</v>
      </c>
    </row>
    <row r="2" spans="1:6" x14ac:dyDescent="0.25">
      <c r="A2" s="6">
        <v>0</v>
      </c>
      <c r="B2" s="6">
        <v>98</v>
      </c>
      <c r="C2" s="6">
        <v>98</v>
      </c>
      <c r="D2" s="6">
        <v>90</v>
      </c>
      <c r="E2" s="6">
        <v>89</v>
      </c>
      <c r="F2" s="6">
        <v>93.1</v>
      </c>
    </row>
    <row r="3" spans="1:6" x14ac:dyDescent="0.25">
      <c r="A3" s="6">
        <v>0.78800000000000003</v>
      </c>
      <c r="B3" s="6">
        <v>98</v>
      </c>
      <c r="C3" s="6">
        <v>98</v>
      </c>
      <c r="D3" s="6" t="e">
        <f>91.03+(9.97*LOG10('Noise category calculation'!$B$3))</f>
        <v>#NUM!</v>
      </c>
      <c r="E3" s="6" t="e">
        <f>90.03+(9.97*LOG10('Noise category calculation'!$B$3))</f>
        <v>#NUM!</v>
      </c>
      <c r="F3" s="6">
        <v>93.1</v>
      </c>
    </row>
    <row r="4" spans="1:6" x14ac:dyDescent="0.25">
      <c r="A4" s="6">
        <v>2</v>
      </c>
      <c r="B4" s="6">
        <v>98</v>
      </c>
      <c r="C4" s="6">
        <v>98</v>
      </c>
      <c r="D4" s="6" t="e">
        <f>91.03+(9.97*LOG10('Noise category calculation'!$B$3))</f>
        <v>#NUM!</v>
      </c>
      <c r="E4" s="6" t="e">
        <f>90.03+(9.97*LOG10('Noise category calculation'!$B$3))</f>
        <v>#NUM!</v>
      </c>
      <c r="F4" s="6" t="e">
        <f>90.77481+(7.72412*LOG10('Noise category calculation'!B3))</f>
        <v>#NUM!</v>
      </c>
    </row>
    <row r="5" spans="1:6" x14ac:dyDescent="0.25">
      <c r="A5" s="6">
        <v>8.6180000000000003</v>
      </c>
      <c r="B5" s="6">
        <v>98</v>
      </c>
      <c r="C5" s="6">
        <v>98</v>
      </c>
      <c r="D5" s="6" t="e">
        <f>91.03+(9.97*LOG10('Noise category calculation'!$B$3))</f>
        <v>#NUM!</v>
      </c>
      <c r="E5" s="6" t="e">
        <f>90.03+(9.97*LOG10('Noise category calculation'!$B$3))</f>
        <v>#NUM!</v>
      </c>
      <c r="F5" s="6">
        <v>98</v>
      </c>
    </row>
    <row r="6" spans="1:6" x14ac:dyDescent="0.25">
      <c r="A6" s="6">
        <v>34</v>
      </c>
      <c r="B6" s="6">
        <v>98</v>
      </c>
      <c r="C6" s="6" t="e">
        <f>87.83+(6.64*LOG10('Noise category calculation'!$B$3))</f>
        <v>#NUM!</v>
      </c>
      <c r="D6" s="6" t="e">
        <f>91.03+(9.97*LOG10('Noise category calculation'!$B$3))</f>
        <v>#NUM!</v>
      </c>
      <c r="E6" s="6" t="e">
        <f>90.03+(9.97*LOG10('Noise category calculation'!$B$3))</f>
        <v>#NUM!</v>
      </c>
      <c r="F6" s="6">
        <v>98</v>
      </c>
    </row>
    <row r="7" spans="1:6" x14ac:dyDescent="0.25">
      <c r="A7" s="6">
        <v>35</v>
      </c>
      <c r="B7" s="6" t="e">
        <f>86.03+(7.75*LOG10('Noise category calculation'!$B$3))</f>
        <v>#NUM!</v>
      </c>
      <c r="C7" s="6" t="e">
        <f>87.83+(6.64*LOG10('Noise category calculation'!$B$3))</f>
        <v>#NUM!</v>
      </c>
      <c r="D7" s="6" t="e">
        <f>91.03+(9.97*LOG10('Noise category calculation'!$B$3))</f>
        <v>#NUM!</v>
      </c>
      <c r="E7" s="6" t="e">
        <f>90.03+(9.97*LOG10('Noise category calculation'!$B$3))</f>
        <v>#NUM!</v>
      </c>
      <c r="F7" s="6" t="e">
        <f>86.03167+(7.75117*LOG10('Noise category calculation'!$B$3))</f>
        <v>#NUM!</v>
      </c>
    </row>
    <row r="8" spans="1:6" x14ac:dyDescent="0.25">
      <c r="A8" s="6">
        <v>80</v>
      </c>
      <c r="B8" s="6" t="e">
        <f>86.03+(7.75*LOG10('Noise category calculation'!$B$3))</f>
        <v>#NUM!</v>
      </c>
      <c r="C8" s="6" t="e">
        <f>87.83+(6.64*LOG10('Noise category calculation'!$B$3))</f>
        <v>#NUM!</v>
      </c>
      <c r="D8" s="6">
        <v>110</v>
      </c>
      <c r="E8" s="6">
        <v>109</v>
      </c>
      <c r="F8" s="6" t="e">
        <f>86.03167+(7.75117*LOG10('Noise category calculation'!$B$3))</f>
        <v>#NUM!</v>
      </c>
    </row>
    <row r="9" spans="1:6" x14ac:dyDescent="0.25">
      <c r="A9" s="6">
        <v>280</v>
      </c>
      <c r="B9" s="6">
        <v>105</v>
      </c>
      <c r="C9" s="6" t="e">
        <f>87.83+(6.64*LOG10('Noise category calculation'!$B$3))</f>
        <v>#NUM!</v>
      </c>
      <c r="D9" s="6">
        <v>110</v>
      </c>
      <c r="E9" s="6">
        <v>109</v>
      </c>
      <c r="F9" s="6">
        <v>105</v>
      </c>
    </row>
    <row r="10" spans="1:6" x14ac:dyDescent="0.25">
      <c r="A10" s="6">
        <v>384.7</v>
      </c>
      <c r="B10" s="6">
        <v>105</v>
      </c>
      <c r="C10" s="6">
        <v>105</v>
      </c>
      <c r="D10" s="6">
        <v>110</v>
      </c>
      <c r="E10" s="6">
        <v>109</v>
      </c>
      <c r="F10" s="6">
        <v>105</v>
      </c>
    </row>
    <row r="11" spans="1:6" x14ac:dyDescent="0.25">
      <c r="A11" s="6">
        <v>1000</v>
      </c>
      <c r="B11" s="6">
        <v>105</v>
      </c>
      <c r="C11" s="6">
        <v>105</v>
      </c>
      <c r="D11" s="6">
        <v>110</v>
      </c>
      <c r="E11" s="6">
        <v>109</v>
      </c>
      <c r="F11" s="6">
        <v>105</v>
      </c>
    </row>
  </sheetData>
  <sheetProtection algorithmName="SHA-512" hashValue="DqfQHqmGCNWdwSObmlakUMqi7Tjrz6LaHaL7eJ6VTKcp08UHeZtgccFqT8HiYplg3/WRoNFrxYxO6hDNei3hwQ==" saltValue="CiEcNheXUKdg4syohKdlcA==" spinCount="100000" sheet="1" objects="1" scenarios="1"/>
  <pageMargins left="0.7" right="0.7" top="0.78740157499999996" bottom="0.78740157499999996"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Q25"/>
  <sheetViews>
    <sheetView workbookViewId="0">
      <selection activeCell="G3" sqref="G3"/>
    </sheetView>
  </sheetViews>
  <sheetFormatPr defaultRowHeight="15" x14ac:dyDescent="0.25"/>
  <cols>
    <col min="2" max="2" width="16.42578125" customWidth="1"/>
    <col min="3" max="6" width="10.140625" customWidth="1"/>
    <col min="7" max="8" width="12.28515625" bestFit="1" customWidth="1"/>
    <col min="9" max="9" width="12.140625" customWidth="1"/>
    <col min="10" max="10" width="16.42578125" customWidth="1"/>
    <col min="11" max="11" width="12.140625" customWidth="1"/>
    <col min="14" max="14" width="16.42578125" customWidth="1"/>
    <col min="15" max="15" width="12.140625" customWidth="1"/>
  </cols>
  <sheetData>
    <row r="1" spans="1:17" x14ac:dyDescent="0.25">
      <c r="A1" s="21" t="s">
        <v>24</v>
      </c>
      <c r="B1" s="21" t="s">
        <v>1</v>
      </c>
      <c r="C1" s="21" t="s">
        <v>2</v>
      </c>
      <c r="D1" s="21" t="s">
        <v>3</v>
      </c>
      <c r="E1" s="21" t="s">
        <v>4</v>
      </c>
      <c r="F1" s="21" t="s">
        <v>5</v>
      </c>
      <c r="G1" s="21" t="s">
        <v>8</v>
      </c>
      <c r="H1" s="21" t="s">
        <v>9</v>
      </c>
      <c r="I1" s="21" t="s">
        <v>10</v>
      </c>
      <c r="J1" s="16"/>
      <c r="K1" t="s">
        <v>24</v>
      </c>
      <c r="L1" t="s">
        <v>1</v>
      </c>
      <c r="M1" t="s">
        <v>10</v>
      </c>
      <c r="N1" s="16"/>
      <c r="O1" t="s">
        <v>24</v>
      </c>
      <c r="P1" t="s">
        <v>1</v>
      </c>
      <c r="Q1" t="s">
        <v>10</v>
      </c>
    </row>
    <row r="2" spans="1:17" x14ac:dyDescent="0.25">
      <c r="A2" s="17">
        <v>0</v>
      </c>
      <c r="B2" s="17">
        <v>89</v>
      </c>
      <c r="C2" s="17">
        <v>89</v>
      </c>
      <c r="D2" s="17">
        <v>68</v>
      </c>
      <c r="E2" s="17">
        <v>88</v>
      </c>
      <c r="F2" s="17">
        <v>84</v>
      </c>
      <c r="G2" s="17">
        <v>82</v>
      </c>
      <c r="H2" s="17">
        <v>82</v>
      </c>
      <c r="I2" s="17">
        <v>80.599999999999994</v>
      </c>
      <c r="K2">
        <v>0</v>
      </c>
      <c r="L2">
        <v>89</v>
      </c>
      <c r="M2">
        <v>80.599999999999994</v>
      </c>
      <c r="O2">
        <v>0</v>
      </c>
      <c r="P2">
        <v>89</v>
      </c>
      <c r="Q2">
        <v>80.599999999999994</v>
      </c>
    </row>
    <row r="3" spans="1:17" x14ac:dyDescent="0.25">
      <c r="A3" s="18">
        <v>0.6</v>
      </c>
      <c r="B3" s="18">
        <v>89</v>
      </c>
      <c r="C3" s="18">
        <v>89</v>
      </c>
      <c r="D3" s="18">
        <f>60+(13.33*'Noise category calculation'!$B$3)</f>
        <v>60</v>
      </c>
      <c r="E3" s="18">
        <v>88</v>
      </c>
      <c r="F3" s="18">
        <v>84</v>
      </c>
      <c r="G3" s="18">
        <v>82</v>
      </c>
      <c r="H3" s="18">
        <v>82</v>
      </c>
      <c r="I3" s="18">
        <v>80.599999999999994</v>
      </c>
      <c r="K3">
        <v>0.6</v>
      </c>
      <c r="L3">
        <v>89</v>
      </c>
      <c r="M3">
        <v>80.599999999999994</v>
      </c>
      <c r="O3">
        <v>0.6</v>
      </c>
      <c r="P3">
        <v>89</v>
      </c>
      <c r="Q3">
        <v>80.599999999999994</v>
      </c>
    </row>
    <row r="4" spans="1:17" x14ac:dyDescent="0.25">
      <c r="A4" s="17">
        <v>0.78800000000000003</v>
      </c>
      <c r="B4" s="17">
        <v>89</v>
      </c>
      <c r="C4" s="17">
        <v>89</v>
      </c>
      <c r="D4" s="17">
        <f>60+(13.33*'Noise category calculation'!$B$3)</f>
        <v>60</v>
      </c>
      <c r="E4" s="17" t="e">
        <f>89.03+(9.97*LOG10('Noise category calculation'!$B$3))</f>
        <v>#NUM!</v>
      </c>
      <c r="F4" s="17" t="e">
        <f>85.03+(9.97*LOG10('Noise category calculation'!$B$3))</f>
        <v>#NUM!</v>
      </c>
      <c r="G4" s="17" t="e">
        <f>83.03+9.97*LOG10('Noise category calculation'!$B$3)</f>
        <v>#NUM!</v>
      </c>
      <c r="H4" s="17">
        <v>82</v>
      </c>
      <c r="I4" s="17">
        <v>80.599999999999994</v>
      </c>
      <c r="K4">
        <v>0.78800000000000003</v>
      </c>
      <c r="L4">
        <v>89</v>
      </c>
      <c r="M4">
        <v>80.599999999999994</v>
      </c>
      <c r="O4">
        <v>0.78800000000000003</v>
      </c>
      <c r="P4">
        <v>89</v>
      </c>
      <c r="Q4">
        <v>80.599999999999994</v>
      </c>
    </row>
    <row r="5" spans="1:17" x14ac:dyDescent="0.25">
      <c r="A5" s="18">
        <v>1.417</v>
      </c>
      <c r="B5" s="18">
        <v>89</v>
      </c>
      <c r="C5" s="18">
        <v>89</v>
      </c>
      <c r="D5" s="18">
        <f>60+(13.33*'Noise category calculation'!$B$3)</f>
        <v>60</v>
      </c>
      <c r="E5" s="18" t="e">
        <f>89.03+(9.97*LOG10('Noise category calculation'!$B$3))</f>
        <v>#NUM!</v>
      </c>
      <c r="F5" s="18" t="e">
        <f>85.03+(9.97*LOG10('Noise category calculation'!$B$3))</f>
        <v>#NUM!</v>
      </c>
      <c r="G5" s="18" t="e">
        <f>83.03+9.97*LOG10('Noise category calculation'!$B$3)</f>
        <v>#NUM!</v>
      </c>
      <c r="H5" s="18" t="e">
        <f>80.49+(9.97*LOG10('Noise category calculation'!$B$3))</f>
        <v>#NUM!</v>
      </c>
      <c r="I5" s="18">
        <v>81.599999999999994</v>
      </c>
      <c r="K5">
        <v>1.5</v>
      </c>
      <c r="L5">
        <v>89</v>
      </c>
      <c r="M5">
        <v>80.599999999999994</v>
      </c>
      <c r="O5">
        <v>1.5</v>
      </c>
      <c r="P5">
        <v>89</v>
      </c>
      <c r="Q5">
        <v>80.599999999999994</v>
      </c>
    </row>
    <row r="6" spans="1:17" x14ac:dyDescent="0.25">
      <c r="A6" s="17">
        <v>1.5</v>
      </c>
      <c r="B6" s="17">
        <v>89</v>
      </c>
      <c r="C6" s="17">
        <v>89</v>
      </c>
      <c r="D6" s="17">
        <v>80</v>
      </c>
      <c r="E6" s="17" t="e">
        <f>89.03+(9.97*LOG10('Noise category calculation'!$B$3))</f>
        <v>#NUM!</v>
      </c>
      <c r="F6" s="17" t="e">
        <f>85.03+(9.97*LOG10('Noise category calculation'!$B$3))</f>
        <v>#NUM!</v>
      </c>
      <c r="G6" s="17" t="e">
        <f>83.03+9.97*LOG10('Noise category calculation'!$B$3)</f>
        <v>#NUM!</v>
      </c>
      <c r="H6" s="17" t="e">
        <f>80.49+(9.97*LOG10('Noise category calculation'!$B$3))</f>
        <v>#NUM!</v>
      </c>
      <c r="I6" s="17">
        <v>80.599999999999994</v>
      </c>
      <c r="K6">
        <v>2</v>
      </c>
      <c r="L6">
        <v>89</v>
      </c>
      <c r="M6" t="e">
        <f>76.57059+(13.28771*LOG10('Noise category calculation'!$B$3))</f>
        <v>#NUM!</v>
      </c>
      <c r="O6">
        <v>2</v>
      </c>
      <c r="P6">
        <v>89</v>
      </c>
      <c r="Q6" t="e">
        <f>76.57059+(13.28771*LOG10('Noise category calculation'!$B$3))</f>
        <v>#NUM!</v>
      </c>
    </row>
    <row r="7" spans="1:17" x14ac:dyDescent="0.25">
      <c r="A7" s="18">
        <v>2</v>
      </c>
      <c r="B7" s="18">
        <v>89</v>
      </c>
      <c r="C7" s="18">
        <v>89</v>
      </c>
      <c r="D7" s="18">
        <v>80</v>
      </c>
      <c r="E7" s="18" t="e">
        <f>89.03+(9.97*LOG10('Noise category calculation'!$B$3))</f>
        <v>#NUM!</v>
      </c>
      <c r="F7" s="18" t="e">
        <f>85.03+(9.97*LOG10('Noise category calculation'!$B$3))</f>
        <v>#NUM!</v>
      </c>
      <c r="G7" s="18" t="e">
        <f>83.03+9.97*LOG10('Noise category calculation'!$B$3)</f>
        <v>#NUM!</v>
      </c>
      <c r="H7" s="18" t="e">
        <f>80.49+(9.97*LOG10('Noise category calculation'!$B$3))</f>
        <v>#NUM!</v>
      </c>
      <c r="I7" s="18" t="e">
        <f>76.57059+(13.28771*LOG10('Noise category calculation'!$B$3))</f>
        <v>#NUM!</v>
      </c>
      <c r="K7">
        <v>8.6180000000000003</v>
      </c>
      <c r="L7">
        <v>89</v>
      </c>
      <c r="M7">
        <v>89</v>
      </c>
      <c r="O7">
        <v>8.6180000000000003</v>
      </c>
      <c r="P7">
        <v>89</v>
      </c>
      <c r="Q7">
        <v>89</v>
      </c>
    </row>
    <row r="8" spans="1:17" x14ac:dyDescent="0.25">
      <c r="A8" s="17">
        <v>8.6180000000000003</v>
      </c>
      <c r="B8" s="17">
        <v>89</v>
      </c>
      <c r="C8" s="17">
        <v>89</v>
      </c>
      <c r="D8" s="17">
        <v>80</v>
      </c>
      <c r="E8" s="17" t="e">
        <f>89.03+(9.97*LOG10('Noise category calculation'!$B$3))</f>
        <v>#NUM!</v>
      </c>
      <c r="F8" s="17" t="e">
        <f>85.03+(9.97*LOG10('Noise category calculation'!$B$3))</f>
        <v>#NUM!</v>
      </c>
      <c r="G8" s="17" t="e">
        <f>83.03+9.97*LOG10('Noise category calculation'!$B$3)</f>
        <v>#NUM!</v>
      </c>
      <c r="H8" s="17" t="e">
        <f>80.49+(9.97*LOG10('Noise category calculation'!$B$3))</f>
        <v>#NUM!</v>
      </c>
      <c r="I8" s="17">
        <v>89</v>
      </c>
      <c r="K8">
        <v>28.6</v>
      </c>
      <c r="L8" t="e">
        <f>69.65+(13.29*LOG10('Noise category calculation'!$B$3))</f>
        <v>#NUM!</v>
      </c>
      <c r="M8">
        <v>89</v>
      </c>
      <c r="O8">
        <v>20.2</v>
      </c>
      <c r="P8" t="e">
        <f>71.65+(13.29*LOG10('Noise category calculation'!$B$3))</f>
        <v>#NUM!</v>
      </c>
      <c r="Q8">
        <v>89</v>
      </c>
    </row>
    <row r="9" spans="1:17" x14ac:dyDescent="0.25">
      <c r="A9" s="18">
        <v>34</v>
      </c>
      <c r="B9" s="18">
        <v>89</v>
      </c>
      <c r="C9" s="18" t="e">
        <f>63.56+(16.61*LOG10('Noise category calculation'!$B$3))</f>
        <v>#NUM!</v>
      </c>
      <c r="D9" s="18">
        <v>80</v>
      </c>
      <c r="E9" s="18" t="e">
        <f>89.03+(9.97*LOG10('Noise category calculation'!$B$3))</f>
        <v>#NUM!</v>
      </c>
      <c r="F9" s="18" t="e">
        <f>85.03+(9.97*LOG10('Noise category calculation'!$B$3))</f>
        <v>#NUM!</v>
      </c>
      <c r="G9" s="18" t="e">
        <f>83.03+9.97*LOG10('Noise category calculation'!$B$3)</f>
        <v>#NUM!</v>
      </c>
      <c r="H9" s="18" t="e">
        <f>80.49+(9.97*LOG10('Noise category calculation'!$B$3))</f>
        <v>#NUM!</v>
      </c>
      <c r="I9" s="18">
        <v>89</v>
      </c>
      <c r="K9">
        <v>28.614999999999998</v>
      </c>
      <c r="L9" t="e">
        <f>69.65+(13.29*LOG10('Noise category calculation'!$B$3))</f>
        <v>#NUM!</v>
      </c>
      <c r="M9" t="e">
        <f>69.64514+(13.28771*LOG10('Noise category calculation'!$B$3))</f>
        <v>#NUM!</v>
      </c>
      <c r="O9">
        <v>20.234000000000002</v>
      </c>
      <c r="P9" t="e">
        <f>71.65+(13.29*LOG10('Noise category calculation'!$B$3))</f>
        <v>#NUM!</v>
      </c>
      <c r="Q9" t="e">
        <f>71.64514+(13.28771*LOG10('Noise category calculation'!$B$3))</f>
        <v>#NUM!</v>
      </c>
    </row>
    <row r="10" spans="1:17" x14ac:dyDescent="0.25">
      <c r="A10" s="17">
        <v>35</v>
      </c>
      <c r="B10" s="17">
        <v>89</v>
      </c>
      <c r="C10" s="17" t="e">
        <f>63.56+(16.61*LOG10('Noise category calculation'!$B$3))</f>
        <v>#NUM!</v>
      </c>
      <c r="D10" s="17">
        <v>80</v>
      </c>
      <c r="E10" s="17" t="e">
        <f>89.03+(9.97*LOG10('Noise category calculation'!$B$3))</f>
        <v>#NUM!</v>
      </c>
      <c r="F10" s="17" t="e">
        <f>85.03+(9.97*LOG10('Noise category calculation'!$B$3))</f>
        <v>#NUM!</v>
      </c>
      <c r="G10" s="17" t="e">
        <f>83.03+9.97*LOG10('Noise category calculation'!$B$3)</f>
        <v>#NUM!</v>
      </c>
      <c r="H10" s="17" t="e">
        <f>80.49+(9.97*LOG10('Noise category calculation'!$B$3))</f>
        <v>#NUM!</v>
      </c>
      <c r="I10" s="17">
        <v>89</v>
      </c>
      <c r="K10">
        <v>34</v>
      </c>
      <c r="L10" t="e">
        <f>69.65+(13.29*LOG10('Noise category calculation'!$B$3))</f>
        <v>#NUM!</v>
      </c>
      <c r="M10" t="e">
        <f>69.64514+(13.28771*LOG10('Noise category calculation'!$B$3))</f>
        <v>#NUM!</v>
      </c>
      <c r="O10">
        <v>34</v>
      </c>
      <c r="P10" t="e">
        <f>71.65+(13.29*LOG10('Noise category calculation'!$B$3))</f>
        <v>#NUM!</v>
      </c>
      <c r="Q10" t="e">
        <f>71.64514+(13.28771*LOG10('Noise category calculation'!$B$3))</f>
        <v>#NUM!</v>
      </c>
    </row>
    <row r="11" spans="1:17" x14ac:dyDescent="0.25">
      <c r="A11" s="18">
        <v>48.1</v>
      </c>
      <c r="B11" s="19" t="e">
        <f>66.65+(13.29*LOG10('Noise category calculation'!$B$3))</f>
        <v>#NUM!</v>
      </c>
      <c r="C11" s="18" t="e">
        <f>63.56+(16.61*LOG10('Noise category calculation'!$B$3))</f>
        <v>#NUM!</v>
      </c>
      <c r="D11" s="18">
        <v>80</v>
      </c>
      <c r="E11" s="18" t="e">
        <f>89.03+(9.97*LOG10('Noise category calculation'!$B$3))</f>
        <v>#NUM!</v>
      </c>
      <c r="F11" s="18" t="e">
        <f>85.03+(9.97*LOG10('Noise category calculation'!$B$3))</f>
        <v>#NUM!</v>
      </c>
      <c r="G11" s="18" t="e">
        <f>83.03+9.97*LOG10('Noise category calculation'!$B$3)</f>
        <v>#NUM!</v>
      </c>
      <c r="H11" s="18" t="e">
        <f>80.49+(9.97*LOG10('Noise category calculation'!$B$3))</f>
        <v>#NUM!</v>
      </c>
      <c r="I11" s="18">
        <v>89</v>
      </c>
      <c r="K11">
        <v>35</v>
      </c>
      <c r="L11" t="e">
        <f>69.65+(13.29*LOG10('Noise category calculation'!$B$3))</f>
        <v>#NUM!</v>
      </c>
      <c r="M11" t="e">
        <f>69.64514+(13.28771*LOG10('Noise category calculation'!$B$3))</f>
        <v>#NUM!</v>
      </c>
      <c r="O11">
        <v>35</v>
      </c>
      <c r="P11" t="e">
        <f>71.65+(13.29*LOG10('Noise category calculation'!$B$3))</f>
        <v>#NUM!</v>
      </c>
      <c r="Q11" t="e">
        <f>71.64514+(13.28771*LOG10('Noise category calculation'!$B$3))</f>
        <v>#NUM!</v>
      </c>
    </row>
    <row r="12" spans="1:17" x14ac:dyDescent="0.25">
      <c r="A12" s="17">
        <v>48.125</v>
      </c>
      <c r="B12" s="20" t="e">
        <f>66.65+(13.29*LOG10('Noise category calculation'!$B$3))</f>
        <v>#NUM!</v>
      </c>
      <c r="C12" s="17" t="e">
        <f>63.56+(16.61*LOG10('Noise category calculation'!$B$3))</f>
        <v>#NUM!</v>
      </c>
      <c r="D12" s="17">
        <v>80</v>
      </c>
      <c r="E12" s="17" t="e">
        <f>89.03+(9.97*LOG10('Noise category calculation'!$B$3))</f>
        <v>#NUM!</v>
      </c>
      <c r="F12" s="17" t="e">
        <f>85.03+(9.97*LOG10('Noise category calculation'!$B$3))</f>
        <v>#NUM!</v>
      </c>
      <c r="G12" s="17" t="e">
        <f>83.03+9.97*LOG10('Noise category calculation'!$B$3)</f>
        <v>#NUM!</v>
      </c>
      <c r="H12" s="17" t="e">
        <f>80.49+(9.97*LOG10('Noise category calculation'!$B$3))</f>
        <v>#NUM!</v>
      </c>
      <c r="I12" s="17" t="e">
        <f>66.64514+(13.28771*(LOG10('Noise category calculation'!$B$3)))</f>
        <v>#NUM!</v>
      </c>
      <c r="K12">
        <v>48.125</v>
      </c>
      <c r="L12" t="e">
        <f>69.65+(13.29*LOG10('Noise category calculation'!$B$3))</f>
        <v>#NUM!</v>
      </c>
      <c r="M12" t="e">
        <f>69.64514+(13.28771*LOG10('Noise category calculation'!$B$3))</f>
        <v>#NUM!</v>
      </c>
      <c r="O12">
        <v>80</v>
      </c>
      <c r="P12" t="e">
        <f>71.65+(13.29*LOG10('Noise category calculation'!$B$3))</f>
        <v>#NUM!</v>
      </c>
      <c r="Q12" t="e">
        <f>71.64514+(13.28771*LOG10('Noise category calculation'!$B$3))</f>
        <v>#NUM!</v>
      </c>
    </row>
    <row r="13" spans="1:17" x14ac:dyDescent="0.25">
      <c r="A13" s="18">
        <v>80</v>
      </c>
      <c r="B13" s="19" t="e">
        <f>66.65+(13.29*LOG10('Noise category calculation'!$B$3))</f>
        <v>#NUM!</v>
      </c>
      <c r="C13" s="18" t="e">
        <f>63.56+(16.61*LOG10('Noise category calculation'!$B$3))</f>
        <v>#NUM!</v>
      </c>
      <c r="D13" s="18">
        <v>80</v>
      </c>
      <c r="E13" s="18">
        <v>108</v>
      </c>
      <c r="F13" s="18">
        <v>104</v>
      </c>
      <c r="G13" s="18" t="e">
        <f>83.03+9.97*LOG10('Noise category calculation'!$B$3)</f>
        <v>#NUM!</v>
      </c>
      <c r="H13" s="18" t="e">
        <f>80.49+(9.97*LOG10('Noise category calculation'!$B$3))</f>
        <v>#NUM!</v>
      </c>
      <c r="I13" s="18" t="e">
        <f>66.64514+(13.28771*(LOG10('Noise category calculation'!$B$3)))</f>
        <v>#NUM!</v>
      </c>
      <c r="K13">
        <v>80</v>
      </c>
      <c r="L13" t="e">
        <f>69.65+(13.29*LOG10('Noise category calculation'!$B$3))</f>
        <v>#NUM!</v>
      </c>
      <c r="M13" t="e">
        <f>69.64514+(13.28771*LOG10('Noise category calculation'!$B$3))</f>
        <v>#NUM!</v>
      </c>
      <c r="O13">
        <v>384.7</v>
      </c>
      <c r="P13" t="e">
        <f>71.65+(13.29*LOG10('Noise category calculation'!$B$3))</f>
        <v>#NUM!</v>
      </c>
      <c r="Q13" t="e">
        <f>71.64514+(13.28771*LOG10('Noise category calculation'!$B$3))</f>
        <v>#NUM!</v>
      </c>
    </row>
    <row r="14" spans="1:17" x14ac:dyDescent="0.25">
      <c r="A14" s="17">
        <v>358.9</v>
      </c>
      <c r="B14" s="20" t="e">
        <f>66.65+(13.29*LOG10('Noise category calculation'!$B$3))</f>
        <v>#NUM!</v>
      </c>
      <c r="C14" s="17">
        <v>106</v>
      </c>
      <c r="D14" s="17">
        <v>80</v>
      </c>
      <c r="E14" s="17">
        <v>108</v>
      </c>
      <c r="F14" s="17">
        <v>104</v>
      </c>
      <c r="G14" s="17" t="e">
        <f>83.03+9.97*LOG10('Noise category calculation'!$B$3)</f>
        <v>#NUM!</v>
      </c>
      <c r="H14" s="17" t="e">
        <f>80.49+(9.97*LOG10('Noise category calculation'!$B$3))</f>
        <v>#NUM!</v>
      </c>
      <c r="I14" s="17" t="e">
        <f>66.64514+(13.28771*(LOG10('Noise category calculation'!$B$3)))</f>
        <v>#NUM!</v>
      </c>
      <c r="K14">
        <v>384.7</v>
      </c>
      <c r="L14" t="e">
        <f>69.65+(13.29*LOG10('Noise category calculation'!$B$3))</f>
        <v>#NUM!</v>
      </c>
      <c r="M14" t="e">
        <f>69.64514+(13.28771*LOG10('Noise category calculation'!$B$3))</f>
        <v>#NUM!</v>
      </c>
      <c r="O14">
        <v>385</v>
      </c>
      <c r="P14">
        <v>106</v>
      </c>
      <c r="Q14">
        <v>106</v>
      </c>
    </row>
    <row r="15" spans="1:17" x14ac:dyDescent="0.25">
      <c r="A15" s="18">
        <v>385</v>
      </c>
      <c r="B15" s="18">
        <v>101</v>
      </c>
      <c r="C15" s="18">
        <v>106</v>
      </c>
      <c r="D15" s="18">
        <v>80</v>
      </c>
      <c r="E15" s="18">
        <v>108</v>
      </c>
      <c r="F15" s="18">
        <v>104</v>
      </c>
      <c r="G15" s="18" t="e">
        <f>83.03+9.97*LOG10('Noise category calculation'!$B$3)</f>
        <v>#NUM!</v>
      </c>
      <c r="H15" s="18" t="e">
        <f>80.49+(9.97*LOG10('Noise category calculation'!$B$3))</f>
        <v>#NUM!</v>
      </c>
      <c r="I15" s="18">
        <v>101</v>
      </c>
      <c r="K15">
        <v>385</v>
      </c>
      <c r="L15">
        <v>104</v>
      </c>
      <c r="M15">
        <v>104</v>
      </c>
      <c r="O15">
        <v>800</v>
      </c>
      <c r="P15">
        <v>106</v>
      </c>
      <c r="Q15">
        <v>106</v>
      </c>
    </row>
    <row r="16" spans="1:17" x14ac:dyDescent="0.25">
      <c r="A16" s="17">
        <v>800</v>
      </c>
      <c r="B16" s="17">
        <v>101</v>
      </c>
      <c r="C16" s="17">
        <v>106</v>
      </c>
      <c r="D16" s="17">
        <v>80</v>
      </c>
      <c r="E16" s="17">
        <v>108</v>
      </c>
      <c r="F16" s="17">
        <v>104</v>
      </c>
      <c r="G16" s="17" t="e">
        <f>83.03+9.97*LOG10('Noise category calculation'!$B$3)</f>
        <v>#NUM!</v>
      </c>
      <c r="H16" s="17" t="e">
        <f>80.49+(9.97*LOG10('Noise category calculation'!$B$3))</f>
        <v>#NUM!</v>
      </c>
      <c r="I16" s="17">
        <v>101</v>
      </c>
      <c r="K16">
        <v>800</v>
      </c>
      <c r="L16">
        <v>104</v>
      </c>
      <c r="M16">
        <v>104</v>
      </c>
    </row>
    <row r="25" spans="1:1" x14ac:dyDescent="0.25">
      <c r="A25" t="e">
        <f>VLOOKUP(4,Přelet!$A$2:$I$16,8,TRUE)</f>
        <v>#NUM!</v>
      </c>
    </row>
  </sheetData>
  <sheetProtection algorithmName="SHA-512" hashValue="rJD9EIa2CiHhv1BtsDsayR7iYGPO6IsolXeW8qn1Ou4VraQ6mXvyQ9OKy5lmr3JWHHm/89cfd60hANMf+kPceA==" saltValue="93Gk7PoXUIOf+5+oH8hJVw==" spinCount="100000" sheet="1" objects="1" scenarios="1"/>
  <pageMargins left="0.7" right="0.7" top="0.78740157499999996" bottom="0.78740157499999996" header="0.3" footer="0.3"/>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
  <sheetViews>
    <sheetView workbookViewId="0">
      <selection activeCell="G3" sqref="G3"/>
    </sheetView>
  </sheetViews>
  <sheetFormatPr defaultRowHeight="15" x14ac:dyDescent="0.25"/>
  <sheetData/>
  <sheetProtection algorithmName="SHA-512" hashValue="H3nGATkjJwUXFC3FmeIQZDA9/U2g6XdCrM6dyNraMdWrBfKW8D2T0K0XMbPI3rBJzfGtjnyX0Ixr9KV46Z8wNg==" saltValue="tHI8KvbTXxgv8sy+6VSzdw=="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3</vt:i4>
      </vt:variant>
    </vt:vector>
  </HeadingPairs>
  <TitlesOfParts>
    <vt:vector size="9" baseType="lpstr">
      <vt:lpstr>Noise category calculation</vt:lpstr>
      <vt:lpstr>Seznamy</vt:lpstr>
      <vt:lpstr>Boční_VZLET</vt:lpstr>
      <vt:lpstr>Přiblížení</vt:lpstr>
      <vt:lpstr>Přelet</vt:lpstr>
      <vt:lpstr>L16-1 (dodatky)</vt:lpstr>
      <vt:lpstr>Hlava</vt:lpstr>
      <vt:lpstr>Počet_motorů</vt:lpstr>
      <vt:lpstr>Rotace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ZIMOLA Dominik</dc:creator>
  <cp:lastModifiedBy>ZIMOLA Dominik</cp:lastModifiedBy>
  <dcterms:created xsi:type="dcterms:W3CDTF">2018-01-24T09:18:23Z</dcterms:created>
  <dcterms:modified xsi:type="dcterms:W3CDTF">2018-10-11T08:15:05Z</dcterms:modified>
  <cp:contentStatus/>
</cp:coreProperties>
</file>